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fileSharing readOnlyRecommended="1" userName="Geoff Kerbis" reservationPassword="D097"/>
  <workbookPr autoCompressPictures="0"/>
  <bookViews>
    <workbookView xWindow="480" yWindow="460" windowWidth="18460" windowHeight="7100" firstSheet="2" activeTab="5"/>
  </bookViews>
  <sheets>
    <sheet name="Acronyms" sheetId="4" r:id="rId1"/>
    <sheet name="Upgrades" sheetId="8" r:id="rId2"/>
    <sheet name="NewBusiness" sheetId="10" r:id="rId3"/>
    <sheet name="RetainBusiness" sheetId="11" r:id="rId4"/>
    <sheet name="Retain Business (ie)" sheetId="13" r:id="rId5"/>
    <sheet name="Summary NPV" sheetId="12" r:id="rId6"/>
  </sheet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11" i="12" l="1"/>
  <c r="C14" i="12"/>
  <c r="C15" i="12"/>
  <c r="C22" i="12"/>
  <c r="C24" i="12"/>
  <c r="J5" i="8"/>
  <c r="D5" i="12"/>
  <c r="J22" i="8"/>
  <c r="J35" i="8"/>
  <c r="J36" i="8"/>
  <c r="J6" i="8"/>
  <c r="D6" i="12"/>
  <c r="H5" i="10"/>
  <c r="D8" i="12"/>
  <c r="D10" i="12"/>
  <c r="D11" i="12"/>
  <c r="D14" i="12"/>
  <c r="D15" i="12"/>
  <c r="J10" i="8"/>
  <c r="D17" i="12"/>
  <c r="J11" i="8"/>
  <c r="D18" i="12"/>
  <c r="H9" i="10"/>
  <c r="D20" i="12"/>
  <c r="D22" i="12"/>
  <c r="D24" i="12"/>
  <c r="K5" i="8"/>
  <c r="E5" i="12"/>
  <c r="K22" i="8"/>
  <c r="K24" i="8"/>
  <c r="K35" i="8"/>
  <c r="K36" i="8"/>
  <c r="K6" i="8"/>
  <c r="E6" i="12"/>
  <c r="I5" i="10"/>
  <c r="E8" i="12"/>
  <c r="E10" i="12"/>
  <c r="E11" i="12"/>
  <c r="E14" i="12"/>
  <c r="E15" i="12"/>
  <c r="K10" i="8"/>
  <c r="E17" i="12"/>
  <c r="K11" i="8"/>
  <c r="E18" i="12"/>
  <c r="I9" i="10"/>
  <c r="E20" i="12"/>
  <c r="E22" i="12"/>
  <c r="E24" i="12"/>
  <c r="L5" i="8"/>
  <c r="F5" i="12"/>
  <c r="L22" i="8"/>
  <c r="L24" i="8"/>
  <c r="L26" i="8"/>
  <c r="L35" i="8"/>
  <c r="L36" i="8"/>
  <c r="L6" i="8"/>
  <c r="F6" i="12"/>
  <c r="J5" i="10"/>
  <c r="F8" i="12"/>
  <c r="F10" i="12"/>
  <c r="F11" i="12"/>
  <c r="F14" i="12"/>
  <c r="F15" i="12"/>
  <c r="L10" i="8"/>
  <c r="F17" i="12"/>
  <c r="L11" i="8"/>
  <c r="F18" i="12"/>
  <c r="J9" i="10"/>
  <c r="F20" i="12"/>
  <c r="F22" i="12"/>
  <c r="F24" i="12"/>
  <c r="M5" i="8"/>
  <c r="G5" i="12"/>
  <c r="M22" i="8"/>
  <c r="M24" i="8"/>
  <c r="M26" i="8"/>
  <c r="M28" i="8"/>
  <c r="M35" i="8"/>
  <c r="M36" i="8"/>
  <c r="M6" i="8"/>
  <c r="G6" i="12"/>
  <c r="K5" i="10"/>
  <c r="G8" i="12"/>
  <c r="G10" i="12"/>
  <c r="G11" i="12"/>
  <c r="G14" i="12"/>
  <c r="G15" i="12"/>
  <c r="M10" i="8"/>
  <c r="G17" i="12"/>
  <c r="M11" i="8"/>
  <c r="G18" i="12"/>
  <c r="K9" i="10"/>
  <c r="G20" i="12"/>
  <c r="G22" i="12"/>
  <c r="G24" i="12"/>
  <c r="N5" i="8"/>
  <c r="H5" i="12"/>
  <c r="N22" i="8"/>
  <c r="N24" i="8"/>
  <c r="N26" i="8"/>
  <c r="N28" i="8"/>
  <c r="N30" i="8"/>
  <c r="N35" i="8"/>
  <c r="N36" i="8"/>
  <c r="N6" i="8"/>
  <c r="H6" i="12"/>
  <c r="L5" i="10"/>
  <c r="H8" i="12"/>
  <c r="H10" i="12"/>
  <c r="H11" i="12"/>
  <c r="H14" i="12"/>
  <c r="H15" i="12"/>
  <c r="N10" i="8"/>
  <c r="H17" i="12"/>
  <c r="N11" i="8"/>
  <c r="H18" i="12"/>
  <c r="L9" i="10"/>
  <c r="H20" i="12"/>
  <c r="H22" i="12"/>
  <c r="H24" i="12"/>
  <c r="O5" i="8"/>
  <c r="I5" i="12"/>
  <c r="O22" i="8"/>
  <c r="O24" i="8"/>
  <c r="O26" i="8"/>
  <c r="O28" i="8"/>
  <c r="O30" i="8"/>
  <c r="O32" i="8"/>
  <c r="O35" i="8"/>
  <c r="O36" i="8"/>
  <c r="O6" i="8"/>
  <c r="I6" i="12"/>
  <c r="M5" i="10"/>
  <c r="I8" i="12"/>
  <c r="M5" i="11"/>
  <c r="I10" i="12"/>
  <c r="I11" i="12"/>
  <c r="I14" i="12"/>
  <c r="I15" i="12"/>
  <c r="O10" i="8"/>
  <c r="I17" i="12"/>
  <c r="O11" i="8"/>
  <c r="I18" i="12"/>
  <c r="M9" i="10"/>
  <c r="I20" i="12"/>
  <c r="I22" i="12"/>
  <c r="I24" i="12"/>
  <c r="P5" i="8"/>
  <c r="J5" i="12"/>
  <c r="P22" i="8"/>
  <c r="P24" i="8"/>
  <c r="P26" i="8"/>
  <c r="P28" i="8"/>
  <c r="P30" i="8"/>
  <c r="P32" i="8"/>
  <c r="P35" i="8"/>
  <c r="P36" i="8"/>
  <c r="P6" i="8"/>
  <c r="J6" i="12"/>
  <c r="N5" i="10"/>
  <c r="J8" i="12"/>
  <c r="N5" i="11"/>
  <c r="J10" i="12"/>
  <c r="J11" i="12"/>
  <c r="J14" i="12"/>
  <c r="J15" i="12"/>
  <c r="P10" i="8"/>
  <c r="J17" i="12"/>
  <c r="P11" i="8"/>
  <c r="J18" i="12"/>
  <c r="N9" i="10"/>
  <c r="J20" i="12"/>
  <c r="J22" i="12"/>
  <c r="J24" i="12"/>
  <c r="Q5" i="8"/>
  <c r="K5" i="12"/>
  <c r="Q22" i="8"/>
  <c r="Q24" i="8"/>
  <c r="Q26" i="8"/>
  <c r="Q28" i="8"/>
  <c r="Q30" i="8"/>
  <c r="Q32" i="8"/>
  <c r="Q35" i="8"/>
  <c r="Q36" i="8"/>
  <c r="Q6" i="8"/>
  <c r="K6" i="12"/>
  <c r="O5" i="10"/>
  <c r="K8" i="12"/>
  <c r="O5" i="11"/>
  <c r="K10" i="12"/>
  <c r="K11" i="12"/>
  <c r="K14" i="12"/>
  <c r="K15" i="12"/>
  <c r="Q10" i="8"/>
  <c r="K17" i="12"/>
  <c r="Q11" i="8"/>
  <c r="K18" i="12"/>
  <c r="O9" i="10"/>
  <c r="K20" i="12"/>
  <c r="K22" i="12"/>
  <c r="K24" i="12"/>
  <c r="R5" i="8"/>
  <c r="L5" i="12"/>
  <c r="R22" i="8"/>
  <c r="R24" i="8"/>
  <c r="R26" i="8"/>
  <c r="R28" i="8"/>
  <c r="R30" i="8"/>
  <c r="R32" i="8"/>
  <c r="R35" i="8"/>
  <c r="R36" i="8"/>
  <c r="R6" i="8"/>
  <c r="L6" i="12"/>
  <c r="P5" i="10"/>
  <c r="L8" i="12"/>
  <c r="P5" i="11"/>
  <c r="L10" i="12"/>
  <c r="L11" i="12"/>
  <c r="L14" i="12"/>
  <c r="L15" i="12"/>
  <c r="R10" i="8"/>
  <c r="L17" i="12"/>
  <c r="R11" i="8"/>
  <c r="L18" i="12"/>
  <c r="P9" i="10"/>
  <c r="L20" i="12"/>
  <c r="L22" i="12"/>
  <c r="L24" i="12"/>
  <c r="S5" i="8"/>
  <c r="M5" i="12"/>
  <c r="S22" i="8"/>
  <c r="S24" i="8"/>
  <c r="S26" i="8"/>
  <c r="S28" i="8"/>
  <c r="S30" i="8"/>
  <c r="S32" i="8"/>
  <c r="S35" i="8"/>
  <c r="S36" i="8"/>
  <c r="S6" i="8"/>
  <c r="M6" i="12"/>
  <c r="Q5" i="10"/>
  <c r="M8" i="12"/>
  <c r="Q5" i="11"/>
  <c r="M10" i="12"/>
  <c r="M11" i="12"/>
  <c r="M14" i="12"/>
  <c r="M15" i="12"/>
  <c r="S10" i="8"/>
  <c r="M17" i="12"/>
  <c r="S11" i="8"/>
  <c r="M18" i="12"/>
  <c r="Q9" i="10"/>
  <c r="M20" i="12"/>
  <c r="M22" i="12"/>
  <c r="M24" i="12"/>
  <c r="T5" i="8"/>
  <c r="N5" i="12"/>
  <c r="T22" i="8"/>
  <c r="T24" i="8"/>
  <c r="T26" i="8"/>
  <c r="T28" i="8"/>
  <c r="T30" i="8"/>
  <c r="T32" i="8"/>
  <c r="T35" i="8"/>
  <c r="T36" i="8"/>
  <c r="T6" i="8"/>
  <c r="N6" i="12"/>
  <c r="R5" i="10"/>
  <c r="N8" i="12"/>
  <c r="R5" i="11"/>
  <c r="N10" i="12"/>
  <c r="N11" i="12"/>
  <c r="N14" i="12"/>
  <c r="N15" i="12"/>
  <c r="T10" i="8"/>
  <c r="N17" i="12"/>
  <c r="T11" i="8"/>
  <c r="N18" i="12"/>
  <c r="R9" i="10"/>
  <c r="N20" i="12"/>
  <c r="N22" i="12"/>
  <c r="N24" i="12"/>
  <c r="U5" i="8"/>
  <c r="O5" i="12"/>
  <c r="U22" i="8"/>
  <c r="U24" i="8"/>
  <c r="U26" i="8"/>
  <c r="U28" i="8"/>
  <c r="U30" i="8"/>
  <c r="U32" i="8"/>
  <c r="U35" i="8"/>
  <c r="U36" i="8"/>
  <c r="U6" i="8"/>
  <c r="O6" i="12"/>
  <c r="S5" i="10"/>
  <c r="O8" i="12"/>
  <c r="S5" i="11"/>
  <c r="O10" i="12"/>
  <c r="O11" i="12"/>
  <c r="O14" i="12"/>
  <c r="O15" i="12"/>
  <c r="U10" i="8"/>
  <c r="O17" i="12"/>
  <c r="U11" i="8"/>
  <c r="O18" i="12"/>
  <c r="S9" i="10"/>
  <c r="O20" i="12"/>
  <c r="O22" i="12"/>
  <c r="O24" i="12"/>
  <c r="V5" i="8"/>
  <c r="P5" i="12"/>
  <c r="V22" i="8"/>
  <c r="V24" i="8"/>
  <c r="V26" i="8"/>
  <c r="V28" i="8"/>
  <c r="V30" i="8"/>
  <c r="V32" i="8"/>
  <c r="V35" i="8"/>
  <c r="V36" i="8"/>
  <c r="V6" i="8"/>
  <c r="P6" i="12"/>
  <c r="T5" i="10"/>
  <c r="P8" i="12"/>
  <c r="T5" i="11"/>
  <c r="P10" i="12"/>
  <c r="P11" i="12"/>
  <c r="P14" i="12"/>
  <c r="P15" i="12"/>
  <c r="V10" i="8"/>
  <c r="P17" i="12"/>
  <c r="V11" i="8"/>
  <c r="P18" i="12"/>
  <c r="T9" i="10"/>
  <c r="P20" i="12"/>
  <c r="P22" i="12"/>
  <c r="P24" i="12"/>
  <c r="C27" i="12"/>
  <c r="R22" i="12"/>
  <c r="R20" i="12"/>
  <c r="R18" i="12"/>
  <c r="R17" i="12"/>
  <c r="R15" i="12"/>
  <c r="R14" i="12"/>
  <c r="R11" i="12"/>
  <c r="R10" i="12"/>
  <c r="R8" i="12"/>
  <c r="R6" i="12"/>
  <c r="R5" i="12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V28" i="13"/>
  <c r="V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28" i="13"/>
  <c r="H17" i="13"/>
  <c r="I17" i="13"/>
  <c r="J17" i="13"/>
  <c r="K17" i="13"/>
  <c r="L17" i="13"/>
  <c r="V17" i="13"/>
  <c r="V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17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V5" i="13"/>
  <c r="V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5" i="13"/>
  <c r="V5" i="11"/>
  <c r="V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V7" i="10"/>
  <c r="V5" i="10"/>
  <c r="J21" i="8"/>
  <c r="N21" i="8"/>
  <c r="R21" i="8"/>
  <c r="V21" i="8"/>
  <c r="V29" i="8"/>
  <c r="V34" i="8"/>
  <c r="U27" i="8"/>
  <c r="U34" i="8"/>
  <c r="T25" i="8"/>
  <c r="T34" i="8"/>
  <c r="S23" i="8"/>
  <c r="S31" i="8"/>
  <c r="S34" i="8"/>
  <c r="R29" i="8"/>
  <c r="R34" i="8"/>
  <c r="Q27" i="8"/>
  <c r="Q34" i="8"/>
  <c r="P25" i="8"/>
  <c r="P34" i="8"/>
  <c r="O23" i="8"/>
  <c r="O31" i="8"/>
  <c r="O34" i="8"/>
  <c r="N29" i="8"/>
  <c r="N34" i="8"/>
  <c r="M27" i="8"/>
  <c r="M34" i="8"/>
  <c r="L25" i="8"/>
  <c r="L34" i="8"/>
  <c r="K23" i="8"/>
  <c r="K34" i="8"/>
  <c r="J34" i="8"/>
  <c r="V7" i="8"/>
  <c r="V12" i="8"/>
  <c r="V14" i="8"/>
  <c r="U7" i="8"/>
  <c r="U12" i="8"/>
  <c r="U14" i="8"/>
  <c r="T7" i="8"/>
  <c r="T12" i="8"/>
  <c r="T14" i="8"/>
  <c r="S7" i="8"/>
  <c r="S12" i="8"/>
  <c r="S14" i="8"/>
  <c r="R7" i="8"/>
  <c r="R12" i="8"/>
  <c r="R14" i="8"/>
  <c r="Q7" i="8"/>
  <c r="Q12" i="8"/>
  <c r="Q14" i="8"/>
  <c r="P7" i="8"/>
  <c r="P12" i="8"/>
  <c r="P14" i="8"/>
  <c r="O7" i="8"/>
  <c r="O12" i="8"/>
  <c r="O14" i="8"/>
  <c r="N7" i="8"/>
  <c r="N12" i="8"/>
  <c r="N14" i="8"/>
  <c r="M7" i="8"/>
  <c r="M12" i="8"/>
  <c r="M14" i="8"/>
  <c r="L7" i="8"/>
  <c r="L12" i="8"/>
  <c r="L14" i="8"/>
  <c r="K7" i="8"/>
  <c r="K12" i="8"/>
  <c r="K14" i="8"/>
  <c r="J7" i="8"/>
  <c r="J12" i="8"/>
  <c r="J14" i="8"/>
  <c r="X5" i="8"/>
  <c r="X7" i="8"/>
  <c r="X8" i="8"/>
</calcChain>
</file>

<file path=xl/comments1.xml><?xml version="1.0" encoding="utf-8"?>
<comments xmlns="http://schemas.openxmlformats.org/spreadsheetml/2006/main">
  <authors>
    <author>Rojas, Luis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>Rojas, Luis:</t>
        </r>
        <r>
          <rPr>
            <sz val="9"/>
            <color indexed="81"/>
            <rFont val="Tahoma"/>
            <family val="2"/>
          </rPr>
          <t xml:space="preserve">
Typically 60% of increased volume is expected from recognition of Synthetic technology in the market</t>
        </r>
      </text>
    </comment>
  </commentList>
</comments>
</file>

<file path=xl/comments2.xml><?xml version="1.0" encoding="utf-8"?>
<comments xmlns="http://schemas.openxmlformats.org/spreadsheetml/2006/main">
  <authors>
    <author>Rojas, Luis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Rojas, Luis:</t>
        </r>
        <r>
          <rPr>
            <sz val="9"/>
            <color indexed="81"/>
            <rFont val="Tahoma"/>
            <family val="2"/>
          </rPr>
          <t xml:space="preserve">
Experience has shown that accounts with LE support are retained for approximatly 13 years</t>
        </r>
      </text>
    </comment>
  </commentList>
</comments>
</file>

<file path=xl/sharedStrings.xml><?xml version="1.0" encoding="utf-8"?>
<sst xmlns="http://schemas.openxmlformats.org/spreadsheetml/2006/main" count="243" uniqueCount="144">
  <si>
    <t>1-tech work at customer</t>
  </si>
  <si>
    <t>2-building tech capabilities</t>
  </si>
  <si>
    <t>Premium</t>
  </si>
  <si>
    <t>Flagship</t>
  </si>
  <si>
    <t>%</t>
  </si>
  <si>
    <t>New Business Gain per year of 450 bls</t>
  </si>
  <si>
    <t>Amount of Money protected during 13 years/by the D L E</t>
  </si>
  <si>
    <t>Vs Amount of Money during 5 years assuming the account is lost due to not having protected</t>
  </si>
  <si>
    <t>Typicaly the D LE supports 50% of the total volume.</t>
  </si>
  <si>
    <t>13  years is typically the amount of time that an account remains with XOM when supported by LE</t>
  </si>
  <si>
    <t>5 years when it is not supported by a LE</t>
  </si>
  <si>
    <r>
      <rPr>
        <b/>
        <sz val="11"/>
        <color theme="1"/>
        <rFont val="Calibri"/>
        <family val="2"/>
        <scheme val="minor"/>
      </rPr>
      <t>Value over 13 years period</t>
    </r>
    <r>
      <rPr>
        <sz val="11"/>
        <color theme="1"/>
        <rFont val="Calibri"/>
        <family val="2"/>
        <scheme val="minor"/>
      </rPr>
      <t>={[(50%vol*GM*13)] +[ 50%vol*GM*5years]}/13 - (100%vol*GM*5Years)/13</t>
    </r>
  </si>
  <si>
    <t>We are not calculating NPV (net present value)</t>
  </si>
  <si>
    <t>NSR</t>
  </si>
  <si>
    <t>Net Margin for the upgrade per year</t>
  </si>
  <si>
    <t>Assumptions</t>
  </si>
  <si>
    <t>Inventory carry cost factor</t>
  </si>
  <si>
    <t>Units</t>
  </si>
  <si>
    <t>USD</t>
  </si>
  <si>
    <t>Bbls</t>
  </si>
  <si>
    <t>USD/Bbls</t>
  </si>
  <si>
    <t>Inputs</t>
  </si>
  <si>
    <t>Upgrade Volume from Premium to Flagship</t>
  </si>
  <si>
    <t>NSR for Flagship products</t>
  </si>
  <si>
    <t>NSR for Premium products</t>
  </si>
  <si>
    <t>COGS for Flagship products</t>
  </si>
  <si>
    <t>COGS for Premium products</t>
  </si>
  <si>
    <t>Values</t>
  </si>
  <si>
    <t>Acronyms</t>
  </si>
  <si>
    <t>Travel and Expenses for D L E</t>
  </si>
  <si>
    <t>Calculations for increase annual gross margin</t>
  </si>
  <si>
    <r>
      <rPr>
        <b/>
        <sz val="11"/>
        <color theme="1"/>
        <rFont val="Calibri"/>
        <family val="2"/>
        <scheme val="minor"/>
      </rPr>
      <t>GM Increase =</t>
    </r>
    <r>
      <rPr>
        <sz val="11"/>
        <color theme="1"/>
        <rFont val="Calibri"/>
        <family val="2"/>
        <scheme val="minor"/>
      </rPr>
      <t xml:space="preserve"> GM Increase S-&gt;P + GM Increase P-&gt;F</t>
    </r>
  </si>
  <si>
    <r>
      <rPr>
        <b/>
        <sz val="11"/>
        <color theme="1"/>
        <rFont val="Calibri"/>
        <family val="2"/>
        <scheme val="minor"/>
      </rPr>
      <t>GM Increase  P-&gt;F =</t>
    </r>
    <r>
      <rPr>
        <sz val="11"/>
        <color theme="1"/>
        <rFont val="Calibri"/>
        <family val="2"/>
        <scheme val="minor"/>
      </rPr>
      <t xml:space="preserve"> Vol P-&gt;F Increase* (( NSR for Flagship products - COGS for Flagship products)- ( NSR for Premium products - COGS for Premium products))</t>
    </r>
  </si>
  <si>
    <t>Money Disccount Rate</t>
  </si>
  <si>
    <t>Adj. Margin</t>
  </si>
  <si>
    <t>Income (+)</t>
  </si>
  <si>
    <t>Inv. Cost</t>
  </si>
  <si>
    <t>Salary</t>
  </si>
  <si>
    <t>Cash Flow</t>
  </si>
  <si>
    <t>NPV (20%) =</t>
  </si>
  <si>
    <t>Year</t>
  </si>
  <si>
    <t>By switching to synthetics we estimate the distributor will keep the business for 13 years by adding value</t>
  </si>
  <si>
    <t>With no LE the distribuitor will keep the business only for 5 years by not having the opportunity to demonstrate value</t>
  </si>
  <si>
    <t>A D L E will document more value to the customer when converting to synthetic by 10%</t>
  </si>
  <si>
    <t>Customer 1</t>
  </si>
  <si>
    <t>Customer 2</t>
  </si>
  <si>
    <t>Customer 3</t>
  </si>
  <si>
    <t>Customer 4</t>
  </si>
  <si>
    <t>Customer 5</t>
  </si>
  <si>
    <t>Customer 6</t>
  </si>
  <si>
    <t>Remove the  formulas of S to P</t>
  </si>
  <si>
    <t>Add the factors to the NPV</t>
  </si>
  <si>
    <t>PREMIUM DIFFERENCE DUE TO REDUCTION FROM SYNTETIC IN THE APPLICATION</t>
  </si>
  <si>
    <t>FLAGSHIP DIFFERENCE DUE TO SYNTHETIC IN THE APPLICATION</t>
  </si>
  <si>
    <t>PREMIUM DIFFERENCE DUE TO SELL MORE BY SELLING LESS ACROSS THE TERRITORY</t>
  </si>
  <si>
    <t>Additional Vol &amp; Syn Tech</t>
  </si>
  <si>
    <t>Vol. Increase Factor (Syn Technology)</t>
  </si>
  <si>
    <t>Total Income (+)</t>
  </si>
  <si>
    <t>Total Outcome (-)</t>
  </si>
  <si>
    <t>TOTAL</t>
  </si>
  <si>
    <t>SWB Increase</t>
  </si>
  <si>
    <t>Expense (-)</t>
  </si>
  <si>
    <t>Margin Reduction due to Upgrade</t>
  </si>
  <si>
    <t>Typically each DLE upgrades 40 Bls of premium to flagship</t>
  </si>
  <si>
    <t>Profitability increase due to Premium Product Upgrades</t>
  </si>
  <si>
    <t>New Business Gain</t>
  </si>
  <si>
    <t>AVG. COGS</t>
  </si>
  <si>
    <t>AVG. NSR</t>
  </si>
  <si>
    <t>No.</t>
  </si>
  <si>
    <t>GM Gain</t>
  </si>
  <si>
    <t>Expenses</t>
  </si>
  <si>
    <t>DSI</t>
  </si>
  <si>
    <t>Customer Size (EYC)</t>
  </si>
  <si>
    <t>Days</t>
  </si>
  <si>
    <t>Accounts Gained</t>
  </si>
  <si>
    <t>Retain Business</t>
  </si>
  <si>
    <t>Typical size of a customer is estimated at 200 Bbls</t>
  </si>
  <si>
    <t>Having one DEL we estimated that doing 8 Plant Studies of 200 Bbls accounts per year</t>
  </si>
  <si>
    <t>Protected Volume by each DLE</t>
  </si>
  <si>
    <t>By providing Technical Support (value added) to an existing account we expect to keep by 13 years</t>
  </si>
  <si>
    <t>Without Technical Support provided it is expected that after 5 years there is a risk to be more vulnerable to loose the accounts</t>
  </si>
  <si>
    <t>Upgrade</t>
  </si>
  <si>
    <t>Total Expense (-)</t>
  </si>
  <si>
    <t>New Business</t>
  </si>
  <si>
    <t>GM Accounts Retention</t>
  </si>
  <si>
    <t>Inventory Cost</t>
  </si>
  <si>
    <t>Travel &amp; Expenses D L E</t>
  </si>
  <si>
    <t>NPV Summary</t>
  </si>
  <si>
    <t>Outcome</t>
  </si>
  <si>
    <t>Profitability increase by having a D L E upgrading Premuim Products</t>
  </si>
  <si>
    <t>Steps</t>
  </si>
  <si>
    <t>Cell</t>
  </si>
  <si>
    <t>How to use this spreadsheet</t>
  </si>
  <si>
    <t>From your income statment Input the Flagship Net Sales Realization.  NSR=NSR USD/Ind@CVL off Flagship Vol. Sales. Bbls.</t>
  </si>
  <si>
    <t>From your income statment Input the Premium Net Sales Realization.  NSR=NSR USD/Ind@CVL off Flagship Vol. Sales. Bbls.</t>
  </si>
  <si>
    <t xml:space="preserve">Input the annual costs of goods sales of Flagship products </t>
  </si>
  <si>
    <t xml:space="preserve">Input the annual costs of goods sales of Products products </t>
  </si>
  <si>
    <t>Input your local percentage interest of debt ( Inventory carry cost factor of flagship products)</t>
  </si>
  <si>
    <t>Input the expected return of capital employed in the business. Typically is 20%</t>
  </si>
  <si>
    <t>Input % of Increased premium products volume expected due to technical support, value added and techonology recognition in the market</t>
  </si>
  <si>
    <t>Input the expected years maintaining the business by having Value added documentation and technical Support</t>
  </si>
  <si>
    <t xml:space="preserve">% of Inv. value </t>
  </si>
  <si>
    <t>Input the amount of barrels of premium products to upgrade by the DLE in an annual basis, this should reflect a realistic challenge</t>
  </si>
  <si>
    <t>Input the Estimated Yearly consmuption expected from new custmers</t>
  </si>
  <si>
    <t>Input the number of new accounts expected as a result of having one D L E performing Plant Studies</t>
  </si>
  <si>
    <t>From your income statment Input the Average of Flagship Net Sales Realization.  NSR=NSR USD/Ind@CVL off Flagship Vol. Sales. Bbls.</t>
  </si>
  <si>
    <t>Input the Average of annual costs of goods sales of Flagship products USD</t>
  </si>
  <si>
    <t>From your Balance Sheet Input your DSI=Inventory Value$/AVG Sales*30Days</t>
  </si>
  <si>
    <t>Input the value in Bbls/year of protected volume from the territory.</t>
  </si>
  <si>
    <t xml:space="preserve">From your income statment Input the Average of Flagship Net Sales Realization. </t>
  </si>
  <si>
    <t>Total GM for 13 years</t>
  </si>
  <si>
    <t xml:space="preserve"> NSR=NSR USD/Ind@CVL off Flagship Vol. Sales. Bbls.</t>
  </si>
  <si>
    <t>Experience has shown that accounts with LE support are retained for approximatly 13 years</t>
  </si>
  <si>
    <t>Salary, Wage and Benefits for DLE (Annually)</t>
  </si>
  <si>
    <t>% of Volume Retained</t>
  </si>
  <si>
    <t>D6</t>
  </si>
  <si>
    <t>D7</t>
  </si>
  <si>
    <t>D8</t>
  </si>
  <si>
    <t>D9</t>
  </si>
  <si>
    <t>WITHOUT D L E</t>
  </si>
  <si>
    <t>WITH D L E</t>
  </si>
  <si>
    <t>Also new business gain due to the value of synthetics, will allow the Distributor to increase business within existing customer.</t>
  </si>
  <si>
    <t>Using POP at existing customer will leverage to gain new business with new customers.</t>
  </si>
  <si>
    <t xml:space="preserve">COGS </t>
  </si>
  <si>
    <t xml:space="preserve">SWB </t>
  </si>
  <si>
    <t>D L E</t>
  </si>
  <si>
    <t>GM</t>
  </si>
  <si>
    <t>NPV</t>
  </si>
  <si>
    <t>LE</t>
  </si>
  <si>
    <t>AVG</t>
  </si>
  <si>
    <t>Cost of goods</t>
  </si>
  <si>
    <t>Salary, wedges</t>
  </si>
  <si>
    <t>Net Sales Realization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</si>
  <si>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</si>
  <si>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</si>
  <si>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</si>
  <si>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</si>
  <si>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</si>
  <si>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</si>
  <si>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</si>
  <si>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</si>
  <si>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</si>
  <si>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D10</t>
  </si>
  <si>
    <t>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</si>
</sst>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0" fillId="3" borderId="0" xfId="0" applyFill="1"/>
    <xf numFmtId="0" fontId="0" fillId="3" borderId="11" xfId="0" applyFill="1" applyBorder="1"/>
    <xf numFmtId="0" fontId="8" fillId="3" borderId="0" xfId="0" applyFont="1" applyFill="1"/>
    <xf numFmtId="0" fontId="2" fillId="3" borderId="0" xfId="0" applyFont="1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6" fillId="3" borderId="2" xfId="0" applyFont="1" applyFill="1" applyBorder="1" applyAlignment="1">
      <alignment horizontal="center"/>
    </xf>
    <xf numFmtId="166" fontId="0" fillId="3" borderId="3" xfId="0" applyNumberFormat="1" applyFill="1" applyBorder="1"/>
    <xf numFmtId="166" fontId="0" fillId="3" borderId="4" xfId="0" applyNumberFormat="1" applyFill="1" applyBorder="1"/>
    <xf numFmtId="166" fontId="0" fillId="3" borderId="5" xfId="0" applyNumberFormat="1" applyFill="1" applyBorder="1"/>
    <xf numFmtId="166" fontId="0" fillId="3" borderId="0" xfId="0" applyNumberFormat="1" applyFill="1" applyBorder="1"/>
    <xf numFmtId="0" fontId="3" fillId="3" borderId="15" xfId="0" applyFont="1" applyFill="1" applyBorder="1"/>
    <xf numFmtId="166" fontId="0" fillId="3" borderId="6" xfId="0" applyNumberFormat="1" applyFill="1" applyBorder="1"/>
    <xf numFmtId="166" fontId="0" fillId="3" borderId="0" xfId="0" applyNumberFormat="1" applyFont="1" applyFill="1" applyBorder="1"/>
    <xf numFmtId="166" fontId="6" fillId="3" borderId="16" xfId="0" applyNumberFormat="1" applyFont="1" applyFill="1" applyBorder="1"/>
    <xf numFmtId="0" fontId="0" fillId="3" borderId="0" xfId="0" applyFont="1" applyFill="1"/>
    <xf numFmtId="0" fontId="0" fillId="3" borderId="0" xfId="0" applyFill="1" applyAlignment="1">
      <alignment wrapText="1"/>
    </xf>
    <xf numFmtId="166" fontId="2" fillId="3" borderId="0" xfId="0" applyNumberFormat="1" applyFont="1" applyFill="1" applyBorder="1"/>
    <xf numFmtId="166" fontId="2" fillId="3" borderId="7" xfId="0" applyNumberFormat="1" applyFont="1" applyFill="1" applyBorder="1"/>
    <xf numFmtId="166" fontId="0" fillId="3" borderId="7" xfId="0" applyNumberFormat="1" applyFill="1" applyBorder="1"/>
    <xf numFmtId="0" fontId="3" fillId="3" borderId="16" xfId="0" applyFont="1" applyFill="1" applyBorder="1"/>
    <xf numFmtId="166" fontId="2" fillId="3" borderId="8" xfId="0" applyNumberFormat="1" applyFont="1" applyFill="1" applyBorder="1"/>
    <xf numFmtId="166" fontId="2" fillId="3" borderId="9" xfId="0" applyNumberFormat="1" applyFont="1" applyFill="1" applyBorder="1"/>
    <xf numFmtId="0" fontId="3" fillId="3" borderId="17" xfId="0" applyFont="1" applyFill="1" applyBorder="1"/>
    <xf numFmtId="166" fontId="0" fillId="3" borderId="0" xfId="0" applyNumberFormat="1" applyFill="1"/>
    <xf numFmtId="0" fontId="3" fillId="3" borderId="0" xfId="0" applyFont="1" applyFill="1"/>
    <xf numFmtId="0" fontId="6" fillId="3" borderId="0" xfId="0" applyFont="1" applyFill="1"/>
    <xf numFmtId="166" fontId="6" fillId="3" borderId="12" xfId="1" applyNumberFormat="1" applyFont="1" applyFill="1" applyBorder="1"/>
    <xf numFmtId="166" fontId="6" fillId="3" borderId="13" xfId="1" applyNumberFormat="1" applyFont="1" applyFill="1" applyBorder="1"/>
    <xf numFmtId="166" fontId="6" fillId="3" borderId="14" xfId="1" applyNumberFormat="1" applyFont="1" applyFill="1" applyBorder="1"/>
    <xf numFmtId="166" fontId="6" fillId="3" borderId="0" xfId="1" applyNumberFormat="1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9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/>
    <xf numFmtId="166" fontId="0" fillId="3" borderId="7" xfId="0" applyNumberFormat="1" applyFont="1" applyFill="1" applyBorder="1"/>
    <xf numFmtId="166" fontId="2" fillId="3" borderId="10" xfId="0" applyNumberFormat="1" applyFont="1" applyFill="1" applyBorder="1"/>
    <xf numFmtId="0" fontId="0" fillId="3" borderId="16" xfId="0" applyFill="1" applyBorder="1"/>
    <xf numFmtId="1" fontId="0" fillId="3" borderId="0" xfId="0" applyNumberForma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ont="1" applyFill="1" applyBorder="1" applyAlignment="1">
      <alignment wrapText="1"/>
    </xf>
    <xf numFmtId="165" fontId="0" fillId="3" borderId="0" xfId="1" applyNumberFormat="1" applyFont="1" applyFill="1" applyBorder="1" applyAlignment="1">
      <alignment horizontal="center"/>
    </xf>
    <xf numFmtId="164" fontId="0" fillId="3" borderId="0" xfId="1" applyNumberFormat="1" applyFont="1" applyFill="1"/>
    <xf numFmtId="165" fontId="0" fillId="3" borderId="0" xfId="1" applyNumberFormat="1" applyFont="1" applyFill="1"/>
    <xf numFmtId="166" fontId="7" fillId="3" borderId="0" xfId="0" applyNumberFormat="1" applyFont="1" applyFill="1" applyBorder="1"/>
    <xf numFmtId="0" fontId="3" fillId="3" borderId="0" xfId="0" applyFont="1" applyFill="1" applyBorder="1"/>
    <xf numFmtId="166" fontId="6" fillId="3" borderId="2" xfId="0" applyNumberFormat="1" applyFont="1" applyFill="1" applyBorder="1"/>
    <xf numFmtId="0" fontId="0" fillId="3" borderId="17" xfId="0" applyFill="1" applyBorder="1"/>
    <xf numFmtId="2" fontId="0" fillId="3" borderId="0" xfId="0" applyNumberFormat="1" applyFill="1" applyBorder="1"/>
    <xf numFmtId="2" fontId="2" fillId="3" borderId="0" xfId="0" applyNumberFormat="1" applyFont="1" applyFill="1"/>
    <xf numFmtId="2" fontId="3" fillId="3" borderId="0" xfId="0" applyNumberFormat="1" applyFont="1" applyFill="1" applyBorder="1"/>
    <xf numFmtId="166" fontId="2" fillId="3" borderId="6" xfId="0" applyNumberFormat="1" applyFont="1" applyFill="1" applyBorder="1"/>
    <xf numFmtId="166" fontId="9" fillId="2" borderId="12" xfId="1" applyNumberFormat="1" applyFont="1" applyFill="1" applyBorder="1"/>
    <xf numFmtId="166" fontId="9" fillId="2" borderId="13" xfId="1" applyNumberFormat="1" applyFont="1" applyFill="1" applyBorder="1"/>
    <xf numFmtId="166" fontId="9" fillId="2" borderId="14" xfId="1" applyNumberFormat="1" applyFont="1" applyFill="1" applyBorder="1"/>
    <xf numFmtId="0" fontId="7" fillId="3" borderId="0" xfId="0" applyFont="1" applyFill="1"/>
    <xf numFmtId="0" fontId="10" fillId="2" borderId="12" xfId="0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2" fillId="3" borderId="0" xfId="0" applyFont="1" applyFill="1" applyAlignment="1">
      <alignment wrapText="1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9" borderId="39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8" xfId="0" applyFont="1" applyFill="1" applyBorder="1"/>
    <xf numFmtId="0" fontId="0" fillId="5" borderId="43" xfId="1" applyNumberFormat="1" applyFont="1" applyFill="1" applyBorder="1" applyAlignment="1">
      <alignment horizontal="center" vertical="center"/>
    </xf>
    <xf numFmtId="166" fontId="0" fillId="5" borderId="44" xfId="0" applyNumberFormat="1" applyFill="1" applyBorder="1" applyAlignment="1">
      <alignment horizontal="center"/>
    </xf>
    <xf numFmtId="0" fontId="0" fillId="5" borderId="20" xfId="1" applyNumberFormat="1" applyFont="1" applyFill="1" applyBorder="1" applyAlignment="1">
      <alignment horizontal="center" vertical="center"/>
    </xf>
    <xf numFmtId="0" fontId="0" fillId="5" borderId="29" xfId="1" applyNumberFormat="1" applyFont="1" applyFill="1" applyBorder="1" applyAlignment="1">
      <alignment horizontal="center"/>
    </xf>
    <xf numFmtId="166" fontId="0" fillId="5" borderId="29" xfId="0" applyNumberFormat="1" applyFill="1" applyBorder="1" applyAlignment="1">
      <alignment horizontal="center"/>
    </xf>
    <xf numFmtId="1" fontId="0" fillId="5" borderId="29" xfId="0" applyNumberFormat="1" applyFill="1" applyBorder="1" applyAlignment="1">
      <alignment horizontal="center"/>
    </xf>
    <xf numFmtId="9" fontId="0" fillId="5" borderId="32" xfId="0" applyNumberForma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0" fillId="3" borderId="3" xfId="0" applyFont="1" applyFill="1" applyBorder="1"/>
    <xf numFmtId="0" fontId="2" fillId="4" borderId="4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 wrapText="1"/>
    </xf>
    <xf numFmtId="0" fontId="0" fillId="5" borderId="20" xfId="0" applyFill="1" applyBorder="1" applyAlignment="1">
      <alignment horizontal="center"/>
    </xf>
    <xf numFmtId="9" fontId="0" fillId="5" borderId="29" xfId="0" applyNumberFormat="1" applyFill="1" applyBorder="1" applyAlignment="1">
      <alignment horizontal="center"/>
    </xf>
    <xf numFmtId="166" fontId="0" fillId="5" borderId="32" xfId="0" applyNumberFormat="1" applyFill="1" applyBorder="1" applyAlignment="1">
      <alignment horizontal="center"/>
    </xf>
    <xf numFmtId="9" fontId="0" fillId="5" borderId="45" xfId="2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2" xfId="0" applyFont="1" applyFill="1" applyBorder="1" applyAlignment="1">
      <alignment horizontal="center"/>
    </xf>
    <xf numFmtId="2" fontId="13" fillId="3" borderId="0" xfId="0" applyNumberFormat="1" applyFont="1" applyFill="1"/>
    <xf numFmtId="2" fontId="7" fillId="7" borderId="0" xfId="0" applyNumberFormat="1" applyFont="1" applyFill="1"/>
    <xf numFmtId="2" fontId="7" fillId="8" borderId="0" xfId="0" applyNumberFormat="1" applyFont="1" applyFill="1"/>
    <xf numFmtId="0" fontId="13" fillId="3" borderId="0" xfId="0" applyFont="1" applyFill="1"/>
    <xf numFmtId="0" fontId="0" fillId="3" borderId="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0" fillId="0" borderId="0" xfId="0" applyFill="1" applyBorder="1"/>
    <xf numFmtId="0" fontId="0" fillId="3" borderId="0" xfId="1" applyNumberFormat="1" applyFont="1" applyFill="1" applyBorder="1" applyAlignment="1">
      <alignment horizontal="center" vertical="center"/>
    </xf>
    <xf numFmtId="0" fontId="0" fillId="3" borderId="0" xfId="1" applyNumberFormat="1" applyFon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166" fontId="6" fillId="3" borderId="17" xfId="0" applyNumberFormat="1" applyFont="1" applyFill="1" applyBorder="1"/>
    <xf numFmtId="0" fontId="2" fillId="3" borderId="16" xfId="0" applyFont="1" applyFill="1" applyBorder="1"/>
    <xf numFmtId="0" fontId="14" fillId="3" borderId="0" xfId="0" applyFont="1" applyFill="1"/>
    <xf numFmtId="0" fontId="15" fillId="0" borderId="0" xfId="0" applyFont="1" applyAlignment="1">
      <alignment vertical="center"/>
    </xf>
    <xf numFmtId="0" fontId="0" fillId="3" borderId="0" xfId="0" applyFill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2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0" fillId="3" borderId="37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36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9" fontId="0" fillId="3" borderId="0" xfId="2" applyFont="1" applyFill="1" applyBorder="1" applyAlignment="1">
      <alignment horizontal="left" wrapText="1"/>
    </xf>
    <xf numFmtId="9" fontId="0" fillId="3" borderId="7" xfId="2" applyFont="1" applyFill="1" applyBorder="1" applyAlignment="1">
      <alignment horizontal="left" wrapText="1"/>
    </xf>
    <xf numFmtId="9" fontId="0" fillId="3" borderId="35" xfId="2" applyFont="1" applyFill="1" applyBorder="1" applyAlignment="1">
      <alignment horizontal="left" vertical="center" wrapText="1"/>
    </xf>
    <xf numFmtId="9" fontId="0" fillId="3" borderId="11" xfId="2" applyFont="1" applyFill="1" applyBorder="1" applyAlignment="1">
      <alignment horizontal="left" vertical="center" wrapText="1"/>
    </xf>
    <xf numFmtId="9" fontId="0" fillId="3" borderId="22" xfId="2" applyFont="1" applyFill="1" applyBorder="1" applyAlignment="1">
      <alignment horizontal="left" vertical="center" wrapText="1"/>
    </xf>
    <xf numFmtId="9" fontId="0" fillId="3" borderId="36" xfId="2" applyFont="1" applyFill="1" applyBorder="1" applyAlignment="1">
      <alignment horizontal="left" vertical="center" wrapText="1"/>
    </xf>
    <xf numFmtId="9" fontId="0" fillId="3" borderId="18" xfId="2" applyFont="1" applyFill="1" applyBorder="1" applyAlignment="1">
      <alignment horizontal="left" vertical="center" wrapText="1"/>
    </xf>
    <xf numFmtId="9" fontId="0" fillId="3" borderId="20" xfId="2" applyFont="1" applyFill="1" applyBorder="1" applyAlignment="1">
      <alignment horizontal="left" vertical="center" wrapText="1"/>
    </xf>
    <xf numFmtId="9" fontId="0" fillId="3" borderId="0" xfId="2" applyFont="1" applyFill="1" applyBorder="1" applyAlignment="1">
      <alignment horizontal="left" vertical="center" wrapText="1"/>
    </xf>
    <xf numFmtId="9" fontId="0" fillId="3" borderId="7" xfId="2" applyFont="1" applyFill="1" applyBorder="1" applyAlignment="1">
      <alignment horizontal="left" vertical="center" wrapText="1"/>
    </xf>
    <xf numFmtId="0" fontId="0" fillId="3" borderId="38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2" fillId="9" borderId="42" xfId="0" applyFont="1" applyFill="1" applyBorder="1" applyAlignment="1">
      <alignment horizontal="center"/>
    </xf>
    <xf numFmtId="0" fontId="2" fillId="9" borderId="40" xfId="0" applyFont="1" applyFill="1" applyBorder="1" applyAlignment="1">
      <alignment horizontal="center"/>
    </xf>
    <xf numFmtId="0" fontId="0" fillId="3" borderId="4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41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7" fillId="6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workbookViewId="0">
      <selection activeCell="B8" sqref="B8"/>
    </sheetView>
  </sheetViews>
  <sheetFormatPr baseColWidth="10" defaultColWidth="8.83203125" defaultRowHeight="14" x14ac:dyDescent="0"/>
  <sheetData>
    <row r="4" spans="1:2">
      <c r="A4" t="s">
        <v>28</v>
      </c>
    </row>
    <row r="5" spans="1:2">
      <c r="A5" s="97" t="s">
        <v>123</v>
      </c>
      <c r="B5" t="s">
        <v>130</v>
      </c>
    </row>
    <row r="6" spans="1:2">
      <c r="A6" s="97" t="s">
        <v>124</v>
      </c>
      <c r="B6" t="s">
        <v>131</v>
      </c>
    </row>
    <row r="7" spans="1:2">
      <c r="A7" t="s">
        <v>13</v>
      </c>
      <c r="B7" t="s">
        <v>132</v>
      </c>
    </row>
    <row r="8" spans="1:2">
      <c r="A8" t="s">
        <v>125</v>
      </c>
    </row>
    <row r="9" spans="1:2">
      <c r="A9" t="s">
        <v>126</v>
      </c>
    </row>
    <row r="10" spans="1:2">
      <c r="A10" t="s">
        <v>127</v>
      </c>
    </row>
    <row r="11" spans="1:2">
      <c r="A11" t="s">
        <v>128</v>
      </c>
    </row>
    <row r="12" spans="1:2">
      <c r="A12" t="s">
        <v>129</v>
      </c>
    </row>
    <row r="13" spans="1:2">
      <c r="A13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76"/>
  <sheetViews>
    <sheetView topLeftCell="B13" zoomScale="80" zoomScaleNormal="80" zoomScalePageLayoutView="80" workbookViewId="0">
      <selection activeCell="J11" sqref="J11"/>
    </sheetView>
  </sheetViews>
  <sheetFormatPr baseColWidth="10" defaultColWidth="8.83203125" defaultRowHeight="14" x14ac:dyDescent="0"/>
  <cols>
    <col min="1" max="1" width="1.5" style="1" customWidth="1"/>
    <col min="2" max="3" width="8.83203125" style="1"/>
    <col min="4" max="4" width="31.5" style="1" customWidth="1"/>
    <col min="5" max="5" width="15.33203125" style="1" customWidth="1"/>
    <col min="6" max="6" width="22.6640625" style="1" customWidth="1"/>
    <col min="7" max="7" width="13.5" style="1" customWidth="1"/>
    <col min="8" max="8" width="36.1640625" style="1" customWidth="1"/>
    <col min="9" max="9" width="14.5" style="1" customWidth="1"/>
    <col min="10" max="11" width="12.33203125" style="1" bestFit="1" customWidth="1"/>
    <col min="12" max="14" width="11.5" style="1" bestFit="1" customWidth="1"/>
    <col min="15" max="15" width="12.5" style="1" bestFit="1" customWidth="1"/>
    <col min="16" max="16" width="13" style="1" bestFit="1" customWidth="1"/>
    <col min="17" max="17" width="14.1640625" style="1" bestFit="1" customWidth="1"/>
    <col min="18" max="18" width="15.1640625" style="1" bestFit="1" customWidth="1"/>
    <col min="19" max="22" width="16.83203125" style="1" bestFit="1" customWidth="1"/>
    <col min="23" max="23" width="1.5" style="1" customWidth="1"/>
    <col min="24" max="24" width="15.5" style="1" customWidth="1"/>
    <col min="25" max="16384" width="8.83203125" style="1"/>
  </cols>
  <sheetData>
    <row r="1" spans="2:24" ht="20">
      <c r="B1" s="3" t="s">
        <v>64</v>
      </c>
      <c r="E1" s="4"/>
      <c r="G1" s="4"/>
      <c r="H1" s="4"/>
      <c r="I1" s="4"/>
      <c r="J1" s="4"/>
    </row>
    <row r="2" spans="2:24" ht="15" thickBot="1"/>
    <row r="3" spans="2:24" ht="16" thickBot="1">
      <c r="G3" s="6"/>
      <c r="H3" s="7" t="s">
        <v>40</v>
      </c>
      <c r="I3" s="50">
        <v>0</v>
      </c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8</v>
      </c>
      <c r="R3" s="51">
        <v>9</v>
      </c>
      <c r="S3" s="51">
        <v>10</v>
      </c>
      <c r="T3" s="51">
        <v>11</v>
      </c>
      <c r="U3" s="51">
        <v>12</v>
      </c>
      <c r="V3" s="55">
        <v>13</v>
      </c>
      <c r="W3" s="8"/>
      <c r="X3" s="9" t="s">
        <v>59</v>
      </c>
    </row>
    <row r="4" spans="2:24" ht="16" thickBot="1">
      <c r="H4" s="4" t="s">
        <v>35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3"/>
      <c r="X4" s="14"/>
    </row>
    <row r="5" spans="2:24" ht="16" thickBot="1">
      <c r="B5" s="164" t="s">
        <v>21</v>
      </c>
      <c r="C5" s="165"/>
      <c r="D5" s="165"/>
      <c r="E5" s="106" t="s">
        <v>17</v>
      </c>
      <c r="F5" s="107" t="s">
        <v>27</v>
      </c>
      <c r="G5" s="70"/>
      <c r="H5" s="1" t="s">
        <v>34</v>
      </c>
      <c r="I5" s="15"/>
      <c r="J5" s="16">
        <f t="shared" ref="J5:V5" si="0">$F$6*(($F$7-$F$9)-($F$8-$F$10))</f>
        <v>28000</v>
      </c>
      <c r="K5" s="16">
        <f t="shared" si="0"/>
        <v>28000</v>
      </c>
      <c r="L5" s="16">
        <f t="shared" si="0"/>
        <v>28000</v>
      </c>
      <c r="M5" s="16">
        <f t="shared" si="0"/>
        <v>28000</v>
      </c>
      <c r="N5" s="16">
        <f t="shared" si="0"/>
        <v>28000</v>
      </c>
      <c r="O5" s="16">
        <f t="shared" si="0"/>
        <v>28000</v>
      </c>
      <c r="P5" s="16">
        <f t="shared" si="0"/>
        <v>28000</v>
      </c>
      <c r="Q5" s="16">
        <f t="shared" si="0"/>
        <v>28000</v>
      </c>
      <c r="R5" s="16">
        <f t="shared" si="0"/>
        <v>28000</v>
      </c>
      <c r="S5" s="16">
        <f t="shared" si="0"/>
        <v>28000</v>
      </c>
      <c r="T5" s="16">
        <f t="shared" si="0"/>
        <v>28000</v>
      </c>
      <c r="U5" s="16">
        <f t="shared" si="0"/>
        <v>28000</v>
      </c>
      <c r="V5" s="16">
        <f t="shared" si="0"/>
        <v>28000</v>
      </c>
      <c r="W5" s="16"/>
      <c r="X5" s="17">
        <f>SUM(J5:V5)</f>
        <v>364000</v>
      </c>
    </row>
    <row r="6" spans="2:24" ht="15.75" customHeight="1">
      <c r="B6" s="108" t="s">
        <v>22</v>
      </c>
      <c r="C6" s="37"/>
      <c r="D6" s="37"/>
      <c r="E6" s="132" t="s">
        <v>19</v>
      </c>
      <c r="F6" s="115">
        <v>40</v>
      </c>
      <c r="G6" s="84"/>
      <c r="H6" s="19" t="s">
        <v>55</v>
      </c>
      <c r="I6" s="15"/>
      <c r="J6" s="16">
        <f t="shared" ref="J6:V6" si="1">($F$8-$F$10)*J$36</f>
        <v>2000</v>
      </c>
      <c r="K6" s="16">
        <f t="shared" si="1"/>
        <v>4000</v>
      </c>
      <c r="L6" s="16">
        <f t="shared" si="1"/>
        <v>6000</v>
      </c>
      <c r="M6" s="16">
        <f t="shared" si="1"/>
        <v>8000</v>
      </c>
      <c r="N6" s="16">
        <f t="shared" si="1"/>
        <v>10000</v>
      </c>
      <c r="O6" s="16">
        <f t="shared" si="1"/>
        <v>12000</v>
      </c>
      <c r="P6" s="16">
        <f t="shared" si="1"/>
        <v>12000</v>
      </c>
      <c r="Q6" s="16">
        <f t="shared" si="1"/>
        <v>12000</v>
      </c>
      <c r="R6" s="16">
        <f t="shared" si="1"/>
        <v>12000</v>
      </c>
      <c r="S6" s="16">
        <f t="shared" si="1"/>
        <v>12000</v>
      </c>
      <c r="T6" s="16">
        <f t="shared" si="1"/>
        <v>12000</v>
      </c>
      <c r="U6" s="16">
        <f t="shared" si="1"/>
        <v>12000</v>
      </c>
      <c r="V6" s="16">
        <f t="shared" si="1"/>
        <v>12000</v>
      </c>
      <c r="W6" s="16"/>
      <c r="X6" s="17"/>
    </row>
    <row r="7" spans="2:24" ht="15">
      <c r="B7" s="97" t="s">
        <v>23</v>
      </c>
      <c r="C7" s="45"/>
      <c r="D7" s="45"/>
      <c r="E7" s="113" t="s">
        <v>20</v>
      </c>
      <c r="F7" s="103">
        <v>2500</v>
      </c>
      <c r="G7" s="85"/>
      <c r="H7" s="4" t="s">
        <v>57</v>
      </c>
      <c r="I7" s="15"/>
      <c r="J7" s="20">
        <f>SUM(J5:J6)</f>
        <v>30000</v>
      </c>
      <c r="K7" s="20">
        <f t="shared" ref="K7:V7" si="2">SUM(K5:K6)</f>
        <v>32000</v>
      </c>
      <c r="L7" s="20">
        <f t="shared" si="2"/>
        <v>34000</v>
      </c>
      <c r="M7" s="20">
        <f t="shared" si="2"/>
        <v>36000</v>
      </c>
      <c r="N7" s="20">
        <f t="shared" si="2"/>
        <v>38000</v>
      </c>
      <c r="O7" s="20">
        <f t="shared" si="2"/>
        <v>40000</v>
      </c>
      <c r="P7" s="20">
        <f t="shared" si="2"/>
        <v>40000</v>
      </c>
      <c r="Q7" s="20">
        <f t="shared" si="2"/>
        <v>40000</v>
      </c>
      <c r="R7" s="20">
        <f t="shared" si="2"/>
        <v>40000</v>
      </c>
      <c r="S7" s="20">
        <f t="shared" si="2"/>
        <v>40000</v>
      </c>
      <c r="T7" s="20">
        <f t="shared" si="2"/>
        <v>40000</v>
      </c>
      <c r="U7" s="20">
        <f t="shared" si="2"/>
        <v>40000</v>
      </c>
      <c r="V7" s="21">
        <f t="shared" si="2"/>
        <v>40000</v>
      </c>
      <c r="W7" s="20"/>
      <c r="X7" s="17">
        <f>SUM(J7:V7)</f>
        <v>490000</v>
      </c>
    </row>
    <row r="8" spans="2:24" ht="15">
      <c r="B8" s="97" t="s">
        <v>24</v>
      </c>
      <c r="C8" s="45"/>
      <c r="D8" s="45"/>
      <c r="E8" s="113" t="s">
        <v>20</v>
      </c>
      <c r="F8" s="103">
        <v>500</v>
      </c>
      <c r="G8" s="85"/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2"/>
      <c r="W8" s="13"/>
      <c r="X8" s="17">
        <f>SUM(X5:X7)</f>
        <v>854000</v>
      </c>
    </row>
    <row r="9" spans="2:24">
      <c r="B9" s="97" t="s">
        <v>25</v>
      </c>
      <c r="C9" s="45"/>
      <c r="D9" s="45"/>
      <c r="E9" s="113" t="s">
        <v>20</v>
      </c>
      <c r="F9" s="103">
        <v>1700</v>
      </c>
      <c r="G9" s="85"/>
      <c r="H9" s="4" t="s">
        <v>61</v>
      </c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2"/>
      <c r="X9" s="58"/>
    </row>
    <row r="10" spans="2:24" ht="15">
      <c r="B10" s="97" t="s">
        <v>26</v>
      </c>
      <c r="C10" s="45"/>
      <c r="D10" s="45"/>
      <c r="E10" s="113" t="s">
        <v>20</v>
      </c>
      <c r="F10" s="103">
        <v>400</v>
      </c>
      <c r="G10" s="85"/>
      <c r="H10" s="1" t="s">
        <v>36</v>
      </c>
      <c r="I10" s="15"/>
      <c r="J10" s="13">
        <f t="shared" ref="J10:V10" si="3">(($F$9*$F$6*$F$11)-($F$10*$F$6*$F$11*4))</f>
        <v>200</v>
      </c>
      <c r="K10" s="13">
        <f t="shared" si="3"/>
        <v>200</v>
      </c>
      <c r="L10" s="13">
        <f t="shared" si="3"/>
        <v>200</v>
      </c>
      <c r="M10" s="13">
        <f t="shared" si="3"/>
        <v>200</v>
      </c>
      <c r="N10" s="13">
        <f t="shared" si="3"/>
        <v>200</v>
      </c>
      <c r="O10" s="13">
        <f t="shared" si="3"/>
        <v>200</v>
      </c>
      <c r="P10" s="13">
        <f t="shared" si="3"/>
        <v>200</v>
      </c>
      <c r="Q10" s="13">
        <f t="shared" si="3"/>
        <v>200</v>
      </c>
      <c r="R10" s="13">
        <f t="shared" si="3"/>
        <v>200</v>
      </c>
      <c r="S10" s="13">
        <f t="shared" si="3"/>
        <v>200</v>
      </c>
      <c r="T10" s="13">
        <f t="shared" si="3"/>
        <v>200</v>
      </c>
      <c r="U10" s="13">
        <f t="shared" si="3"/>
        <v>200</v>
      </c>
      <c r="V10" s="22">
        <f t="shared" si="3"/>
        <v>200</v>
      </c>
      <c r="W10" s="13"/>
      <c r="X10" s="23"/>
    </row>
    <row r="11" spans="2:24" ht="15.75" customHeight="1">
      <c r="B11" s="97" t="s">
        <v>16</v>
      </c>
      <c r="C11" s="45"/>
      <c r="D11" s="45"/>
      <c r="E11" s="113" t="s">
        <v>101</v>
      </c>
      <c r="F11" s="116">
        <v>0.05</v>
      </c>
      <c r="G11" s="141"/>
      <c r="H11" s="19" t="s">
        <v>62</v>
      </c>
      <c r="I11" s="15"/>
      <c r="J11" s="13">
        <f t="shared" ref="J11:V11" si="4">($F$8-$F$10)*-J$35</f>
        <v>4000</v>
      </c>
      <c r="K11" s="13">
        <f t="shared" si="4"/>
        <v>8000</v>
      </c>
      <c r="L11" s="13">
        <f t="shared" si="4"/>
        <v>12000</v>
      </c>
      <c r="M11" s="13">
        <f t="shared" si="4"/>
        <v>16000</v>
      </c>
      <c r="N11" s="13">
        <f t="shared" si="4"/>
        <v>20000</v>
      </c>
      <c r="O11" s="13">
        <f t="shared" si="4"/>
        <v>24000</v>
      </c>
      <c r="P11" s="13">
        <f t="shared" si="4"/>
        <v>24000</v>
      </c>
      <c r="Q11" s="13">
        <f t="shared" si="4"/>
        <v>24000</v>
      </c>
      <c r="R11" s="13">
        <f t="shared" si="4"/>
        <v>24000</v>
      </c>
      <c r="S11" s="13">
        <f t="shared" si="4"/>
        <v>24000</v>
      </c>
      <c r="T11" s="13">
        <f t="shared" si="4"/>
        <v>24000</v>
      </c>
      <c r="U11" s="13">
        <f t="shared" si="4"/>
        <v>24000</v>
      </c>
      <c r="V11" s="13">
        <f t="shared" si="4"/>
        <v>24000</v>
      </c>
      <c r="W11" s="13"/>
      <c r="X11" s="23"/>
    </row>
    <row r="12" spans="2:24" ht="15.75" customHeight="1" thickBot="1">
      <c r="B12" s="97" t="s">
        <v>33</v>
      </c>
      <c r="C12" s="45"/>
      <c r="D12" s="45"/>
      <c r="E12" s="133" t="s">
        <v>4</v>
      </c>
      <c r="F12" s="116">
        <v>0.2</v>
      </c>
      <c r="G12" s="141"/>
      <c r="H12" s="4" t="s">
        <v>82</v>
      </c>
      <c r="I12" s="24"/>
      <c r="J12" s="25">
        <f>SUM(J9:J11)</f>
        <v>4200</v>
      </c>
      <c r="K12" s="25">
        <f t="shared" ref="K12:V12" si="5">SUM(K9:K11)</f>
        <v>8200</v>
      </c>
      <c r="L12" s="25">
        <f t="shared" si="5"/>
        <v>12200</v>
      </c>
      <c r="M12" s="25">
        <f t="shared" si="5"/>
        <v>16200</v>
      </c>
      <c r="N12" s="25">
        <f t="shared" si="5"/>
        <v>20200</v>
      </c>
      <c r="O12" s="25">
        <f t="shared" si="5"/>
        <v>24200</v>
      </c>
      <c r="P12" s="25">
        <f t="shared" si="5"/>
        <v>24200</v>
      </c>
      <c r="Q12" s="25">
        <f t="shared" si="5"/>
        <v>24200</v>
      </c>
      <c r="R12" s="25">
        <f t="shared" si="5"/>
        <v>24200</v>
      </c>
      <c r="S12" s="25">
        <f t="shared" si="5"/>
        <v>24200</v>
      </c>
      <c r="T12" s="25">
        <f t="shared" si="5"/>
        <v>24200</v>
      </c>
      <c r="U12" s="25">
        <f t="shared" si="5"/>
        <v>24200</v>
      </c>
      <c r="V12" s="57">
        <f t="shared" si="5"/>
        <v>24200</v>
      </c>
      <c r="W12" s="20"/>
      <c r="X12" s="26"/>
    </row>
    <row r="13" spans="2:24" ht="16" thickBot="1">
      <c r="B13" s="97" t="s">
        <v>56</v>
      </c>
      <c r="C13" s="45"/>
      <c r="D13" s="45"/>
      <c r="E13" s="133"/>
      <c r="F13" s="116">
        <v>0.5</v>
      </c>
      <c r="G13" s="141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</row>
    <row r="14" spans="2:24" ht="16" thickBot="1">
      <c r="B14" s="135" t="s">
        <v>113</v>
      </c>
      <c r="C14" s="45"/>
      <c r="D14" s="45"/>
      <c r="E14" s="113" t="s">
        <v>18</v>
      </c>
      <c r="F14" s="103">
        <v>35000</v>
      </c>
      <c r="G14" s="85"/>
      <c r="H14" s="29" t="s">
        <v>38</v>
      </c>
      <c r="I14" s="30"/>
      <c r="J14" s="31">
        <f t="shared" ref="J14:V14" si="6">J7-J12</f>
        <v>25800</v>
      </c>
      <c r="K14" s="31">
        <f t="shared" si="6"/>
        <v>23800</v>
      </c>
      <c r="L14" s="31">
        <f t="shared" si="6"/>
        <v>21800</v>
      </c>
      <c r="M14" s="31">
        <f t="shared" si="6"/>
        <v>19800</v>
      </c>
      <c r="N14" s="31">
        <f t="shared" si="6"/>
        <v>17800</v>
      </c>
      <c r="O14" s="31">
        <f t="shared" si="6"/>
        <v>15800</v>
      </c>
      <c r="P14" s="31">
        <f t="shared" si="6"/>
        <v>15800</v>
      </c>
      <c r="Q14" s="31">
        <f t="shared" si="6"/>
        <v>15800</v>
      </c>
      <c r="R14" s="31">
        <f t="shared" si="6"/>
        <v>15800</v>
      </c>
      <c r="S14" s="31">
        <f t="shared" si="6"/>
        <v>15800</v>
      </c>
      <c r="T14" s="31">
        <f t="shared" si="6"/>
        <v>15800</v>
      </c>
      <c r="U14" s="31">
        <f t="shared" si="6"/>
        <v>15800</v>
      </c>
      <c r="V14" s="32">
        <f t="shared" si="6"/>
        <v>15800</v>
      </c>
      <c r="W14" s="33"/>
      <c r="X14" s="28"/>
    </row>
    <row r="15" spans="2:24">
      <c r="B15" s="97" t="s">
        <v>60</v>
      </c>
      <c r="C15" s="45"/>
      <c r="D15" s="45"/>
      <c r="E15" s="112" t="s">
        <v>4</v>
      </c>
      <c r="F15" s="116">
        <v>0.03</v>
      </c>
      <c r="G15" s="141"/>
    </row>
    <row r="16" spans="2:24" ht="15" thickBot="1">
      <c r="B16" s="98" t="s">
        <v>29</v>
      </c>
      <c r="C16" s="48"/>
      <c r="D16" s="48"/>
      <c r="E16" s="134" t="s">
        <v>18</v>
      </c>
      <c r="F16" s="117">
        <v>1100</v>
      </c>
      <c r="G16" s="85"/>
    </row>
    <row r="17" spans="2:23">
      <c r="D17" s="18"/>
      <c r="E17" s="18"/>
      <c r="F17" s="85"/>
      <c r="G17" s="6"/>
    </row>
    <row r="18" spans="2:23" ht="15" thickBot="1">
      <c r="B18" s="4" t="s">
        <v>88</v>
      </c>
      <c r="E18" s="18"/>
      <c r="F18" s="85"/>
      <c r="G18" s="6"/>
    </row>
    <row r="19" spans="2:23" ht="15" thickBot="1">
      <c r="B19" s="1" t="s">
        <v>89</v>
      </c>
      <c r="E19" s="18"/>
      <c r="G19" s="6"/>
      <c r="H19" s="34" t="s">
        <v>40</v>
      </c>
      <c r="I19" s="35"/>
      <c r="J19" s="52">
        <v>1</v>
      </c>
      <c r="K19" s="53">
        <v>2</v>
      </c>
      <c r="L19" s="53">
        <v>3</v>
      </c>
      <c r="M19" s="53">
        <v>4</v>
      </c>
      <c r="N19" s="53">
        <v>5</v>
      </c>
      <c r="O19" s="53">
        <v>6</v>
      </c>
      <c r="P19" s="53">
        <v>7</v>
      </c>
      <c r="Q19" s="53">
        <v>8</v>
      </c>
      <c r="R19" s="53">
        <v>9</v>
      </c>
      <c r="S19" s="53">
        <v>10</v>
      </c>
      <c r="T19" s="53">
        <v>11</v>
      </c>
      <c r="U19" s="53">
        <v>12</v>
      </c>
      <c r="V19" s="54">
        <v>13</v>
      </c>
    </row>
    <row r="20" spans="2:23" ht="15" thickBot="1">
      <c r="B20" s="89" t="s">
        <v>90</v>
      </c>
      <c r="C20" s="89" t="s">
        <v>91</v>
      </c>
      <c r="D20" s="161" t="s">
        <v>92</v>
      </c>
      <c r="E20" s="162"/>
      <c r="F20" s="163"/>
      <c r="G20" s="6"/>
      <c r="H20" s="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3">
      <c r="B21" s="159">
        <v>1</v>
      </c>
      <c r="C21" s="160" t="s">
        <v>133</v>
      </c>
      <c r="D21" s="166" t="s">
        <v>102</v>
      </c>
      <c r="E21" s="167"/>
      <c r="F21" s="168"/>
      <c r="G21" s="6"/>
      <c r="H21" s="4" t="s">
        <v>44</v>
      </c>
      <c r="I21" s="4" t="s">
        <v>3</v>
      </c>
      <c r="J21" s="36">
        <f>F6</f>
        <v>40</v>
      </c>
      <c r="K21" s="37">
        <v>0</v>
      </c>
      <c r="L21" s="37">
        <v>0</v>
      </c>
      <c r="M21" s="37">
        <v>0</v>
      </c>
      <c r="N21" s="37">
        <f>J21</f>
        <v>40</v>
      </c>
      <c r="O21" s="37">
        <v>0</v>
      </c>
      <c r="P21" s="37">
        <v>0</v>
      </c>
      <c r="Q21" s="37">
        <v>0</v>
      </c>
      <c r="R21" s="37">
        <f>N21</f>
        <v>40</v>
      </c>
      <c r="S21" s="37">
        <v>0</v>
      </c>
      <c r="T21" s="37">
        <v>0</v>
      </c>
      <c r="U21" s="37">
        <v>0</v>
      </c>
      <c r="V21" s="38">
        <f>R21</f>
        <v>40</v>
      </c>
    </row>
    <row r="22" spans="2:23">
      <c r="B22" s="157"/>
      <c r="C22" s="158"/>
      <c r="D22" s="169"/>
      <c r="E22" s="170"/>
      <c r="F22" s="171"/>
      <c r="G22" s="6"/>
      <c r="H22" s="4"/>
      <c r="I22" s="4" t="s">
        <v>2</v>
      </c>
      <c r="J22" s="39">
        <f t="shared" ref="J22:V22" si="7">-$F$6</f>
        <v>-40</v>
      </c>
      <c r="K22" s="40">
        <f t="shared" si="7"/>
        <v>-40</v>
      </c>
      <c r="L22" s="40">
        <f t="shared" si="7"/>
        <v>-40</v>
      </c>
      <c r="M22" s="40">
        <f t="shared" si="7"/>
        <v>-40</v>
      </c>
      <c r="N22" s="40">
        <f t="shared" si="7"/>
        <v>-40</v>
      </c>
      <c r="O22" s="40">
        <f t="shared" si="7"/>
        <v>-40</v>
      </c>
      <c r="P22" s="40">
        <f t="shared" si="7"/>
        <v>-40</v>
      </c>
      <c r="Q22" s="40">
        <f t="shared" si="7"/>
        <v>-40</v>
      </c>
      <c r="R22" s="40">
        <f t="shared" si="7"/>
        <v>-40</v>
      </c>
      <c r="S22" s="40">
        <f t="shared" si="7"/>
        <v>-40</v>
      </c>
      <c r="T22" s="40">
        <f t="shared" si="7"/>
        <v>-40</v>
      </c>
      <c r="U22" s="40">
        <f t="shared" si="7"/>
        <v>-40</v>
      </c>
      <c r="V22" s="41">
        <f t="shared" si="7"/>
        <v>-40</v>
      </c>
    </row>
    <row r="23" spans="2:23">
      <c r="B23" s="157">
        <v>2</v>
      </c>
      <c r="C23" s="158" t="s">
        <v>134</v>
      </c>
      <c r="D23" s="172" t="s">
        <v>93</v>
      </c>
      <c r="E23" s="172"/>
      <c r="F23" s="173"/>
      <c r="G23" s="6"/>
      <c r="H23" s="4" t="s">
        <v>45</v>
      </c>
      <c r="I23" s="4" t="s">
        <v>3</v>
      </c>
      <c r="J23" s="42"/>
      <c r="K23" s="2">
        <f>$F$6</f>
        <v>40</v>
      </c>
      <c r="L23" s="2">
        <v>0</v>
      </c>
      <c r="M23" s="2">
        <v>0</v>
      </c>
      <c r="N23" s="2">
        <v>0</v>
      </c>
      <c r="O23" s="2">
        <f>$F$6</f>
        <v>40</v>
      </c>
      <c r="P23" s="2">
        <v>0</v>
      </c>
      <c r="Q23" s="2">
        <v>0</v>
      </c>
      <c r="R23" s="2">
        <v>0</v>
      </c>
      <c r="S23" s="2">
        <f>$F$6</f>
        <v>40</v>
      </c>
      <c r="T23" s="2">
        <v>0</v>
      </c>
      <c r="U23" s="2">
        <v>0</v>
      </c>
      <c r="V23" s="43">
        <v>0</v>
      </c>
    </row>
    <row r="24" spans="2:23">
      <c r="B24" s="157"/>
      <c r="C24" s="158"/>
      <c r="D24" s="172"/>
      <c r="E24" s="172"/>
      <c r="F24" s="173"/>
      <c r="G24" s="6"/>
      <c r="H24" s="4"/>
      <c r="I24" s="4" t="s">
        <v>2</v>
      </c>
      <c r="J24" s="39"/>
      <c r="K24" s="40">
        <f t="shared" ref="K24:V24" si="8">-$F$6</f>
        <v>-40</v>
      </c>
      <c r="L24" s="40">
        <f t="shared" si="8"/>
        <v>-40</v>
      </c>
      <c r="M24" s="40">
        <f t="shared" si="8"/>
        <v>-40</v>
      </c>
      <c r="N24" s="40">
        <f t="shared" si="8"/>
        <v>-40</v>
      </c>
      <c r="O24" s="40">
        <f t="shared" si="8"/>
        <v>-40</v>
      </c>
      <c r="P24" s="40">
        <f t="shared" si="8"/>
        <v>-40</v>
      </c>
      <c r="Q24" s="40">
        <f t="shared" si="8"/>
        <v>-40</v>
      </c>
      <c r="R24" s="40">
        <f t="shared" si="8"/>
        <v>-40</v>
      </c>
      <c r="S24" s="40">
        <f t="shared" si="8"/>
        <v>-40</v>
      </c>
      <c r="T24" s="40">
        <f t="shared" si="8"/>
        <v>-40</v>
      </c>
      <c r="U24" s="40">
        <f t="shared" si="8"/>
        <v>-40</v>
      </c>
      <c r="V24" s="41">
        <f t="shared" si="8"/>
        <v>-40</v>
      </c>
    </row>
    <row r="25" spans="2:23">
      <c r="B25" s="157">
        <v>3</v>
      </c>
      <c r="C25" s="158" t="s">
        <v>135</v>
      </c>
      <c r="D25" s="174" t="s">
        <v>94</v>
      </c>
      <c r="E25" s="175"/>
      <c r="F25" s="176"/>
      <c r="G25" s="6"/>
      <c r="H25" s="4" t="s">
        <v>46</v>
      </c>
      <c r="I25" s="4" t="s">
        <v>3</v>
      </c>
      <c r="J25" s="42"/>
      <c r="K25" s="2"/>
      <c r="L25" s="2">
        <f>$F$6</f>
        <v>40</v>
      </c>
      <c r="M25" s="2">
        <v>0</v>
      </c>
      <c r="N25" s="2">
        <v>0</v>
      </c>
      <c r="O25" s="2">
        <v>0</v>
      </c>
      <c r="P25" s="2">
        <f>$F$6</f>
        <v>40</v>
      </c>
      <c r="Q25" s="2">
        <v>0</v>
      </c>
      <c r="R25" s="2">
        <v>0</v>
      </c>
      <c r="S25" s="2">
        <v>0</v>
      </c>
      <c r="T25" s="2">
        <f>$F$6</f>
        <v>40</v>
      </c>
      <c r="U25" s="2">
        <v>0</v>
      </c>
      <c r="V25" s="43">
        <v>0</v>
      </c>
    </row>
    <row r="26" spans="2:23">
      <c r="B26" s="157"/>
      <c r="C26" s="158"/>
      <c r="D26" s="177"/>
      <c r="E26" s="178"/>
      <c r="F26" s="179"/>
      <c r="G26" s="6"/>
      <c r="H26" s="4"/>
      <c r="I26" s="4" t="s">
        <v>2</v>
      </c>
      <c r="J26" s="39"/>
      <c r="K26" s="40"/>
      <c r="L26" s="40">
        <f t="shared" ref="L26:V26" si="9">-$F$6</f>
        <v>-40</v>
      </c>
      <c r="M26" s="40">
        <f t="shared" si="9"/>
        <v>-40</v>
      </c>
      <c r="N26" s="40">
        <f t="shared" si="9"/>
        <v>-40</v>
      </c>
      <c r="O26" s="40">
        <f t="shared" si="9"/>
        <v>-40</v>
      </c>
      <c r="P26" s="40">
        <f t="shared" si="9"/>
        <v>-40</v>
      </c>
      <c r="Q26" s="40">
        <f t="shared" si="9"/>
        <v>-40</v>
      </c>
      <c r="R26" s="40">
        <f t="shared" si="9"/>
        <v>-40</v>
      </c>
      <c r="S26" s="40">
        <f t="shared" si="9"/>
        <v>-40</v>
      </c>
      <c r="T26" s="40">
        <f t="shared" si="9"/>
        <v>-40</v>
      </c>
      <c r="U26" s="40">
        <f t="shared" si="9"/>
        <v>-40</v>
      </c>
      <c r="V26" s="41">
        <f t="shared" si="9"/>
        <v>-40</v>
      </c>
    </row>
    <row r="27" spans="2:23">
      <c r="B27" s="157">
        <v>4</v>
      </c>
      <c r="C27" s="158" t="s">
        <v>136</v>
      </c>
      <c r="D27" s="180" t="s">
        <v>95</v>
      </c>
      <c r="E27" s="180"/>
      <c r="F27" s="181"/>
      <c r="G27" s="6"/>
      <c r="H27" s="4" t="s">
        <v>47</v>
      </c>
      <c r="I27" s="4" t="s">
        <v>3</v>
      </c>
      <c r="J27" s="42"/>
      <c r="K27" s="2"/>
      <c r="L27" s="2"/>
      <c r="M27" s="2">
        <f>$F$6</f>
        <v>40</v>
      </c>
      <c r="N27" s="2">
        <v>0</v>
      </c>
      <c r="O27" s="2">
        <v>0</v>
      </c>
      <c r="P27" s="2">
        <v>0</v>
      </c>
      <c r="Q27" s="2">
        <f>$F$6</f>
        <v>40</v>
      </c>
      <c r="R27" s="2">
        <v>0</v>
      </c>
      <c r="S27" s="2">
        <v>0</v>
      </c>
      <c r="T27" s="2">
        <v>0</v>
      </c>
      <c r="U27" s="2">
        <f>$F$6</f>
        <v>40</v>
      </c>
      <c r="V27" s="43">
        <v>0</v>
      </c>
    </row>
    <row r="28" spans="2:23">
      <c r="B28" s="157"/>
      <c r="C28" s="158"/>
      <c r="D28" s="180"/>
      <c r="E28" s="180"/>
      <c r="F28" s="181"/>
      <c r="H28" s="4"/>
      <c r="I28" s="4" t="s">
        <v>2</v>
      </c>
      <c r="J28" s="39"/>
      <c r="K28" s="40"/>
      <c r="L28" s="40"/>
      <c r="M28" s="40">
        <f t="shared" ref="M28:V28" si="10">-$F$6</f>
        <v>-40</v>
      </c>
      <c r="N28" s="40">
        <f t="shared" si="10"/>
        <v>-40</v>
      </c>
      <c r="O28" s="40">
        <f t="shared" si="10"/>
        <v>-40</v>
      </c>
      <c r="P28" s="40">
        <f t="shared" si="10"/>
        <v>-40</v>
      </c>
      <c r="Q28" s="40">
        <f t="shared" si="10"/>
        <v>-40</v>
      </c>
      <c r="R28" s="40">
        <f t="shared" si="10"/>
        <v>-40</v>
      </c>
      <c r="S28" s="40">
        <f t="shared" si="10"/>
        <v>-40</v>
      </c>
      <c r="T28" s="40">
        <f t="shared" si="10"/>
        <v>-40</v>
      </c>
      <c r="U28" s="40">
        <f t="shared" si="10"/>
        <v>-40</v>
      </c>
      <c r="V28" s="41">
        <f t="shared" si="10"/>
        <v>-40</v>
      </c>
      <c r="W28" s="6"/>
    </row>
    <row r="29" spans="2:23">
      <c r="B29" s="157">
        <v>5</v>
      </c>
      <c r="C29" s="158" t="s">
        <v>137</v>
      </c>
      <c r="D29" s="174" t="s">
        <v>96</v>
      </c>
      <c r="E29" s="175"/>
      <c r="F29" s="176"/>
      <c r="H29" s="4" t="s">
        <v>48</v>
      </c>
      <c r="I29" s="4" t="s">
        <v>3</v>
      </c>
      <c r="J29" s="42"/>
      <c r="K29" s="2"/>
      <c r="L29" s="2"/>
      <c r="M29" s="2"/>
      <c r="N29" s="2">
        <f>$F$6</f>
        <v>40</v>
      </c>
      <c r="O29" s="2">
        <v>0</v>
      </c>
      <c r="P29" s="2">
        <v>0</v>
      </c>
      <c r="Q29" s="2">
        <v>0</v>
      </c>
      <c r="R29" s="2">
        <f>$F$6</f>
        <v>40</v>
      </c>
      <c r="S29" s="2">
        <v>0</v>
      </c>
      <c r="T29" s="2">
        <v>0</v>
      </c>
      <c r="U29" s="2">
        <v>0</v>
      </c>
      <c r="V29" s="43">
        <f>$F$6</f>
        <v>40</v>
      </c>
      <c r="W29" s="6"/>
    </row>
    <row r="30" spans="2:23">
      <c r="B30" s="157"/>
      <c r="C30" s="158"/>
      <c r="D30" s="177"/>
      <c r="E30" s="178"/>
      <c r="F30" s="179"/>
      <c r="H30" s="4"/>
      <c r="I30" s="4" t="s">
        <v>2</v>
      </c>
      <c r="J30" s="39"/>
      <c r="K30" s="40"/>
      <c r="L30" s="40"/>
      <c r="M30" s="40"/>
      <c r="N30" s="40">
        <f t="shared" ref="N30:V30" si="11">-$F$6</f>
        <v>-40</v>
      </c>
      <c r="O30" s="40">
        <f t="shared" si="11"/>
        <v>-40</v>
      </c>
      <c r="P30" s="40">
        <f t="shared" si="11"/>
        <v>-40</v>
      </c>
      <c r="Q30" s="40">
        <f t="shared" si="11"/>
        <v>-40</v>
      </c>
      <c r="R30" s="40">
        <f t="shared" si="11"/>
        <v>-40</v>
      </c>
      <c r="S30" s="40">
        <f t="shared" si="11"/>
        <v>-40</v>
      </c>
      <c r="T30" s="40">
        <f t="shared" si="11"/>
        <v>-40</v>
      </c>
      <c r="U30" s="40">
        <f t="shared" si="11"/>
        <v>-40</v>
      </c>
      <c r="V30" s="41">
        <f t="shared" si="11"/>
        <v>-40</v>
      </c>
      <c r="W30" s="6"/>
    </row>
    <row r="31" spans="2:23" ht="14.25" customHeight="1">
      <c r="B31" s="157">
        <v>6</v>
      </c>
      <c r="C31" s="158" t="s">
        <v>138</v>
      </c>
      <c r="D31" s="148" t="s">
        <v>97</v>
      </c>
      <c r="E31" s="148"/>
      <c r="F31" s="149"/>
      <c r="H31" s="4" t="s">
        <v>49</v>
      </c>
      <c r="I31" s="4" t="s">
        <v>3</v>
      </c>
      <c r="J31" s="44"/>
      <c r="K31" s="45"/>
      <c r="L31" s="45"/>
      <c r="M31" s="45"/>
      <c r="N31" s="45"/>
      <c r="O31" s="2">
        <f>$F$6</f>
        <v>40</v>
      </c>
      <c r="P31" s="45">
        <v>0</v>
      </c>
      <c r="Q31" s="45">
        <v>0</v>
      </c>
      <c r="R31" s="45">
        <v>0</v>
      </c>
      <c r="S31" s="2">
        <f>$F$6</f>
        <v>40</v>
      </c>
      <c r="T31" s="45">
        <v>0</v>
      </c>
      <c r="U31" s="45">
        <v>0</v>
      </c>
      <c r="V31" s="46">
        <v>0</v>
      </c>
    </row>
    <row r="32" spans="2:23" ht="15" customHeight="1" thickBot="1">
      <c r="B32" s="157"/>
      <c r="C32" s="158"/>
      <c r="D32" s="148"/>
      <c r="E32" s="148"/>
      <c r="F32" s="149"/>
      <c r="H32" s="4"/>
      <c r="I32" s="4" t="s">
        <v>2</v>
      </c>
      <c r="J32" s="47"/>
      <c r="K32" s="48"/>
      <c r="L32" s="48"/>
      <c r="M32" s="48"/>
      <c r="N32" s="48"/>
      <c r="O32" s="48">
        <f t="shared" ref="O32:V32" si="12">-$F$6</f>
        <v>-40</v>
      </c>
      <c r="P32" s="48">
        <f t="shared" si="12"/>
        <v>-40</v>
      </c>
      <c r="Q32" s="48">
        <f t="shared" si="12"/>
        <v>-40</v>
      </c>
      <c r="R32" s="48">
        <f t="shared" si="12"/>
        <v>-40</v>
      </c>
      <c r="S32" s="48">
        <f t="shared" si="12"/>
        <v>-40</v>
      </c>
      <c r="T32" s="48">
        <f t="shared" si="12"/>
        <v>-40</v>
      </c>
      <c r="U32" s="48">
        <f t="shared" si="12"/>
        <v>-40</v>
      </c>
      <c r="V32" s="49">
        <f t="shared" si="12"/>
        <v>-40</v>
      </c>
    </row>
    <row r="33" spans="2:22" ht="29.25" customHeight="1" thickBot="1">
      <c r="B33" s="86">
        <v>7</v>
      </c>
      <c r="C33" s="88" t="s">
        <v>139</v>
      </c>
      <c r="D33" s="150" t="s">
        <v>98</v>
      </c>
      <c r="E33" s="151"/>
      <c r="F33" s="152"/>
    </row>
    <row r="34" spans="2:22" ht="30.75" customHeight="1">
      <c r="B34" s="86">
        <v>8</v>
      </c>
      <c r="C34" s="88" t="s">
        <v>140</v>
      </c>
      <c r="D34" s="153" t="s">
        <v>99</v>
      </c>
      <c r="E34" s="153"/>
      <c r="F34" s="147"/>
      <c r="G34" s="146" t="s">
        <v>53</v>
      </c>
      <c r="H34" s="146"/>
      <c r="I34" s="147"/>
      <c r="J34" s="36">
        <f t="shared" ref="J34:V34" si="13">J21+J23+J25+J27+J29+J31</f>
        <v>40</v>
      </c>
      <c r="K34" s="37">
        <f t="shared" si="13"/>
        <v>40</v>
      </c>
      <c r="L34" s="37">
        <f t="shared" si="13"/>
        <v>40</v>
      </c>
      <c r="M34" s="37">
        <f t="shared" si="13"/>
        <v>40</v>
      </c>
      <c r="N34" s="37">
        <f t="shared" si="13"/>
        <v>80</v>
      </c>
      <c r="O34" s="37">
        <f t="shared" si="13"/>
        <v>80</v>
      </c>
      <c r="P34" s="37">
        <f t="shared" si="13"/>
        <v>40</v>
      </c>
      <c r="Q34" s="37">
        <f t="shared" si="13"/>
        <v>40</v>
      </c>
      <c r="R34" s="37">
        <f t="shared" si="13"/>
        <v>80</v>
      </c>
      <c r="S34" s="37">
        <f t="shared" si="13"/>
        <v>80</v>
      </c>
      <c r="T34" s="37">
        <f t="shared" si="13"/>
        <v>40</v>
      </c>
      <c r="U34" s="37">
        <f t="shared" si="13"/>
        <v>40</v>
      </c>
      <c r="V34" s="38">
        <f t="shared" si="13"/>
        <v>80</v>
      </c>
    </row>
    <row r="35" spans="2:22" ht="29.25" customHeight="1" thickBot="1">
      <c r="B35" s="87">
        <v>9</v>
      </c>
      <c r="C35" s="90" t="s">
        <v>141</v>
      </c>
      <c r="D35" s="154" t="s">
        <v>100</v>
      </c>
      <c r="E35" s="155"/>
      <c r="F35" s="156"/>
      <c r="G35" s="146" t="s">
        <v>52</v>
      </c>
      <c r="H35" s="146"/>
      <c r="I35" s="147"/>
      <c r="J35" s="44">
        <f>J22+J24+J26+J28+J30+J32</f>
        <v>-40</v>
      </c>
      <c r="K35" s="45">
        <f t="shared" ref="K35:V35" si="14">K22+K24+K26+K28+K30+K32</f>
        <v>-80</v>
      </c>
      <c r="L35" s="45">
        <f t="shared" si="14"/>
        <v>-120</v>
      </c>
      <c r="M35" s="45">
        <f t="shared" si="14"/>
        <v>-160</v>
      </c>
      <c r="N35" s="45">
        <f t="shared" si="14"/>
        <v>-200</v>
      </c>
      <c r="O35" s="45">
        <f t="shared" si="14"/>
        <v>-240</v>
      </c>
      <c r="P35" s="45">
        <f t="shared" si="14"/>
        <v>-240</v>
      </c>
      <c r="Q35" s="45">
        <f t="shared" si="14"/>
        <v>-240</v>
      </c>
      <c r="R35" s="45">
        <f t="shared" si="14"/>
        <v>-240</v>
      </c>
      <c r="S35" s="45">
        <f t="shared" si="14"/>
        <v>-240</v>
      </c>
      <c r="T35" s="45">
        <f t="shared" si="14"/>
        <v>-240</v>
      </c>
      <c r="U35" s="45">
        <f t="shared" si="14"/>
        <v>-240</v>
      </c>
      <c r="V35" s="46">
        <f t="shared" si="14"/>
        <v>-240</v>
      </c>
    </row>
    <row r="36" spans="2:22" ht="27.75" customHeight="1" thickBot="1">
      <c r="G36" s="146" t="s">
        <v>54</v>
      </c>
      <c r="H36" s="146"/>
      <c r="I36" s="147"/>
      <c r="J36" s="47">
        <f t="shared" ref="J36:V36" si="15">-(J35*$F$13)</f>
        <v>20</v>
      </c>
      <c r="K36" s="48">
        <f t="shared" si="15"/>
        <v>40</v>
      </c>
      <c r="L36" s="48">
        <f t="shared" si="15"/>
        <v>60</v>
      </c>
      <c r="M36" s="48">
        <f t="shared" si="15"/>
        <v>80</v>
      </c>
      <c r="N36" s="48">
        <f t="shared" si="15"/>
        <v>100</v>
      </c>
      <c r="O36" s="48">
        <f t="shared" si="15"/>
        <v>120</v>
      </c>
      <c r="P36" s="48">
        <f t="shared" si="15"/>
        <v>120</v>
      </c>
      <c r="Q36" s="48">
        <f t="shared" si="15"/>
        <v>120</v>
      </c>
      <c r="R36" s="48">
        <f t="shared" si="15"/>
        <v>120</v>
      </c>
      <c r="S36" s="48">
        <f t="shared" si="15"/>
        <v>120</v>
      </c>
      <c r="T36" s="48">
        <f t="shared" si="15"/>
        <v>120</v>
      </c>
      <c r="U36" s="48">
        <f t="shared" si="15"/>
        <v>120</v>
      </c>
      <c r="V36" s="49">
        <f t="shared" si="15"/>
        <v>120</v>
      </c>
    </row>
    <row r="42" spans="2:22" ht="15">
      <c r="D42" s="29" t="s">
        <v>30</v>
      </c>
    </row>
    <row r="44" spans="2:22">
      <c r="D44" s="1" t="s">
        <v>31</v>
      </c>
    </row>
    <row r="46" spans="2:22">
      <c r="D46" s="1" t="s">
        <v>32</v>
      </c>
      <c r="E46" s="4"/>
    </row>
    <row r="47" spans="2:22">
      <c r="D47" s="4"/>
      <c r="E47" s="4"/>
    </row>
    <row r="48" spans="2:22">
      <c r="D48" s="4" t="s">
        <v>15</v>
      </c>
      <c r="E48" s="4"/>
    </row>
    <row r="50" spans="4:4">
      <c r="D50" s="1" t="s">
        <v>63</v>
      </c>
    </row>
    <row r="51" spans="4:4">
      <c r="D51" s="1" t="s">
        <v>14</v>
      </c>
    </row>
    <row r="59" spans="4:4">
      <c r="D59" s="1" t="s">
        <v>41</v>
      </c>
    </row>
    <row r="60" spans="4:4">
      <c r="D60" s="1" t="s">
        <v>42</v>
      </c>
    </row>
    <row r="61" spans="4:4">
      <c r="D61" s="1" t="s">
        <v>43</v>
      </c>
    </row>
    <row r="64" spans="4:4">
      <c r="D64" s="1" t="s">
        <v>50</v>
      </c>
    </row>
    <row r="65" spans="4:4">
      <c r="D65" s="1" t="s">
        <v>51</v>
      </c>
    </row>
    <row r="68" spans="4:4">
      <c r="D68" s="1" t="s">
        <v>11</v>
      </c>
    </row>
    <row r="70" spans="4:4">
      <c r="D70" s="1" t="s">
        <v>9</v>
      </c>
    </row>
    <row r="71" spans="4:4">
      <c r="D71" s="1" t="s">
        <v>10</v>
      </c>
    </row>
    <row r="73" spans="4:4">
      <c r="D73" s="1" t="s">
        <v>12</v>
      </c>
    </row>
    <row r="75" spans="4:4">
      <c r="D75" s="145"/>
    </row>
    <row r="76" spans="4:4">
      <c r="D76" s="145"/>
    </row>
  </sheetData>
  <mergeCells count="26">
    <mergeCell ref="D20:F20"/>
    <mergeCell ref="B5:D5"/>
    <mergeCell ref="B27:B28"/>
    <mergeCell ref="C27:C28"/>
    <mergeCell ref="B29:B30"/>
    <mergeCell ref="C29:C30"/>
    <mergeCell ref="D21:F22"/>
    <mergeCell ref="D23:F24"/>
    <mergeCell ref="D25:F26"/>
    <mergeCell ref="D27:F28"/>
    <mergeCell ref="D29:F30"/>
    <mergeCell ref="B31:B32"/>
    <mergeCell ref="C31:C32"/>
    <mergeCell ref="B21:B22"/>
    <mergeCell ref="C21:C22"/>
    <mergeCell ref="B23:B24"/>
    <mergeCell ref="C23:C24"/>
    <mergeCell ref="B25:B26"/>
    <mergeCell ref="C25:C26"/>
    <mergeCell ref="G34:I34"/>
    <mergeCell ref="G35:I35"/>
    <mergeCell ref="G36:I36"/>
    <mergeCell ref="D31:F32"/>
    <mergeCell ref="D33:F33"/>
    <mergeCell ref="D34:F34"/>
    <mergeCell ref="D35:F35"/>
  </mergeCells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8"/>
  <sheetViews>
    <sheetView zoomScale="80" zoomScaleNormal="80" zoomScalePageLayoutView="80" workbookViewId="0">
      <selection activeCell="C20" sqref="C20"/>
    </sheetView>
  </sheetViews>
  <sheetFormatPr baseColWidth="10" defaultColWidth="8.83203125" defaultRowHeight="14" x14ac:dyDescent="0"/>
  <cols>
    <col min="1" max="1" width="1.5" style="1" customWidth="1"/>
    <col min="2" max="2" width="27.6640625" style="1" customWidth="1"/>
    <col min="3" max="3" width="14.6640625" style="1" customWidth="1"/>
    <col min="4" max="4" width="13" style="1" bestFit="1" customWidth="1"/>
    <col min="5" max="5" width="13.33203125" style="1" bestFit="1" customWidth="1"/>
    <col min="6" max="6" width="19.5" style="1" customWidth="1"/>
    <col min="7" max="7" width="16.5" style="1" customWidth="1"/>
    <col min="8" max="9" width="12.33203125" style="1" bestFit="1" customWidth="1"/>
    <col min="10" max="12" width="11.5" style="1" bestFit="1" customWidth="1"/>
    <col min="13" max="13" width="12.5" style="1" bestFit="1" customWidth="1"/>
    <col min="14" max="14" width="13" style="1" bestFit="1" customWidth="1"/>
    <col min="15" max="15" width="14.1640625" style="1" bestFit="1" customWidth="1"/>
    <col min="16" max="16" width="15.1640625" style="1" bestFit="1" customWidth="1"/>
    <col min="17" max="20" width="16.83203125" style="1" bestFit="1" customWidth="1"/>
    <col min="21" max="21" width="1.5" style="1" customWidth="1"/>
    <col min="22" max="22" width="15.5" style="1" customWidth="1"/>
    <col min="23" max="16384" width="8.83203125" style="1"/>
  </cols>
  <sheetData>
    <row r="1" spans="2:22" ht="20">
      <c r="B1" s="3" t="s">
        <v>65</v>
      </c>
      <c r="C1" s="4"/>
      <c r="E1" s="5"/>
      <c r="F1" s="4"/>
      <c r="G1" s="4"/>
      <c r="H1" s="4"/>
    </row>
    <row r="2" spans="2:22" ht="15" thickBot="1">
      <c r="B2" s="1" t="s">
        <v>0</v>
      </c>
    </row>
    <row r="3" spans="2:22" ht="16" thickBot="1">
      <c r="B3" s="1" t="s">
        <v>1</v>
      </c>
      <c r="F3" s="7" t="s">
        <v>40</v>
      </c>
      <c r="G3" s="52">
        <v>0</v>
      </c>
      <c r="H3" s="53">
        <v>1</v>
      </c>
      <c r="I3" s="53">
        <v>2</v>
      </c>
      <c r="J3" s="53">
        <v>3</v>
      </c>
      <c r="K3" s="53">
        <v>4</v>
      </c>
      <c r="L3" s="53">
        <v>5</v>
      </c>
      <c r="M3" s="53">
        <v>6</v>
      </c>
      <c r="N3" s="53">
        <v>7</v>
      </c>
      <c r="O3" s="53">
        <v>8</v>
      </c>
      <c r="P3" s="53">
        <v>9</v>
      </c>
      <c r="Q3" s="53">
        <v>10</v>
      </c>
      <c r="R3" s="53">
        <v>11</v>
      </c>
      <c r="S3" s="53">
        <v>12</v>
      </c>
      <c r="T3" s="54">
        <v>13</v>
      </c>
      <c r="U3" s="8"/>
      <c r="V3" s="9" t="s">
        <v>59</v>
      </c>
    </row>
    <row r="4" spans="2:22" ht="16" thickBot="1">
      <c r="F4" s="4" t="s">
        <v>35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3"/>
      <c r="V4" s="14"/>
    </row>
    <row r="5" spans="2:22" ht="16" thickBot="1">
      <c r="B5" s="109" t="s">
        <v>21</v>
      </c>
      <c r="C5" s="110" t="s">
        <v>17</v>
      </c>
      <c r="D5" s="107" t="s">
        <v>27</v>
      </c>
      <c r="F5" s="1" t="s">
        <v>69</v>
      </c>
      <c r="G5" s="15"/>
      <c r="H5" s="16">
        <f>$D$6*$D$7*($D$8-$D$9)</f>
        <v>57600</v>
      </c>
      <c r="I5" s="16">
        <f t="shared" ref="I5:T5" si="0">$D$6*$D$7*($D$8-$D$9)</f>
        <v>57600</v>
      </c>
      <c r="J5" s="16">
        <f t="shared" si="0"/>
        <v>57600</v>
      </c>
      <c r="K5" s="16">
        <f t="shared" si="0"/>
        <v>57600</v>
      </c>
      <c r="L5" s="16">
        <f t="shared" si="0"/>
        <v>57600</v>
      </c>
      <c r="M5" s="16">
        <f t="shared" si="0"/>
        <v>57600</v>
      </c>
      <c r="N5" s="16">
        <f t="shared" si="0"/>
        <v>57600</v>
      </c>
      <c r="O5" s="16">
        <f t="shared" si="0"/>
        <v>57600</v>
      </c>
      <c r="P5" s="16">
        <f t="shared" si="0"/>
        <v>57600</v>
      </c>
      <c r="Q5" s="16">
        <f t="shared" si="0"/>
        <v>57600</v>
      </c>
      <c r="R5" s="16">
        <f t="shared" si="0"/>
        <v>57600</v>
      </c>
      <c r="S5" s="16">
        <f t="shared" si="0"/>
        <v>57600</v>
      </c>
      <c r="T5" s="16">
        <f t="shared" si="0"/>
        <v>57600</v>
      </c>
      <c r="U5" s="16"/>
      <c r="V5" s="17">
        <f>SUM(H5:T5)</f>
        <v>748800</v>
      </c>
    </row>
    <row r="6" spans="2:22" ht="15">
      <c r="B6" s="36" t="s">
        <v>72</v>
      </c>
      <c r="C6" s="111" t="s">
        <v>19</v>
      </c>
      <c r="D6" s="101">
        <v>180</v>
      </c>
      <c r="E6" s="139"/>
      <c r="F6" s="19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6"/>
      <c r="U6" s="16"/>
      <c r="V6" s="17"/>
    </row>
    <row r="7" spans="2:22" ht="15">
      <c r="B7" s="44" t="s">
        <v>74</v>
      </c>
      <c r="C7" s="112" t="s">
        <v>68</v>
      </c>
      <c r="D7" s="102">
        <v>2</v>
      </c>
      <c r="E7" s="140"/>
      <c r="F7" s="4" t="s">
        <v>70</v>
      </c>
      <c r="G7" s="1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0"/>
      <c r="V7" s="17">
        <f>SUM(H7:T7)</f>
        <v>0</v>
      </c>
    </row>
    <row r="8" spans="2:22" ht="15">
      <c r="B8" s="97" t="s">
        <v>67</v>
      </c>
      <c r="C8" s="113" t="s">
        <v>20</v>
      </c>
      <c r="D8" s="103">
        <v>450</v>
      </c>
      <c r="E8" s="85"/>
      <c r="F8" s="4"/>
      <c r="G8" s="1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0"/>
      <c r="V8" s="17"/>
    </row>
    <row r="9" spans="2:22" ht="15">
      <c r="B9" s="97" t="s">
        <v>66</v>
      </c>
      <c r="C9" s="113" t="s">
        <v>20</v>
      </c>
      <c r="D9" s="103">
        <v>290</v>
      </c>
      <c r="E9" s="85"/>
      <c r="F9" s="1" t="s">
        <v>36</v>
      </c>
      <c r="G9" s="15"/>
      <c r="H9" s="13">
        <f>(($D$6*$D$7*$D$9)/365)*$D$10*$D$11</f>
        <v>572.05479452054794</v>
      </c>
      <c r="I9" s="13">
        <f t="shared" ref="I9:T9" si="1">(($D$6*$D$7*$D$9)/365)*$D$10*$D$11</f>
        <v>572.05479452054794</v>
      </c>
      <c r="J9" s="13">
        <f t="shared" si="1"/>
        <v>572.05479452054794</v>
      </c>
      <c r="K9" s="13">
        <f t="shared" si="1"/>
        <v>572.05479452054794</v>
      </c>
      <c r="L9" s="13">
        <f t="shared" si="1"/>
        <v>572.05479452054794</v>
      </c>
      <c r="M9" s="13">
        <f t="shared" si="1"/>
        <v>572.05479452054794</v>
      </c>
      <c r="N9" s="13">
        <f t="shared" si="1"/>
        <v>572.05479452054794</v>
      </c>
      <c r="O9" s="13">
        <f t="shared" si="1"/>
        <v>572.05479452054794</v>
      </c>
      <c r="P9" s="13">
        <f t="shared" si="1"/>
        <v>572.05479452054794</v>
      </c>
      <c r="Q9" s="13">
        <f t="shared" si="1"/>
        <v>572.05479452054794</v>
      </c>
      <c r="R9" s="13">
        <f t="shared" si="1"/>
        <v>572.05479452054794</v>
      </c>
      <c r="S9" s="13">
        <f t="shared" si="1"/>
        <v>572.05479452054794</v>
      </c>
      <c r="T9" s="13">
        <f t="shared" si="1"/>
        <v>572.05479452054794</v>
      </c>
      <c r="U9" s="13"/>
      <c r="V9" s="23"/>
    </row>
    <row r="10" spans="2:22" ht="15">
      <c r="B10" s="97" t="s">
        <v>71</v>
      </c>
      <c r="C10" s="113" t="s">
        <v>73</v>
      </c>
      <c r="D10" s="104">
        <v>40</v>
      </c>
      <c r="E10" s="59"/>
      <c r="G10" s="1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2"/>
      <c r="U10" s="13"/>
      <c r="V10" s="23"/>
    </row>
    <row r="11" spans="2:22" ht="16" thickBot="1">
      <c r="B11" s="98" t="s">
        <v>16</v>
      </c>
      <c r="C11" s="114" t="s">
        <v>101</v>
      </c>
      <c r="D11" s="105">
        <v>0.05</v>
      </c>
      <c r="E11" s="141"/>
      <c r="G11" s="1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2"/>
      <c r="U11" s="13"/>
      <c r="V11" s="23"/>
    </row>
    <row r="12" spans="2:22" ht="16" thickBot="1">
      <c r="C12" s="45"/>
      <c r="D12" s="45"/>
      <c r="E12" s="45"/>
      <c r="F12" s="4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57"/>
      <c r="U12" s="20"/>
      <c r="V12" s="26"/>
    </row>
    <row r="13" spans="2:22" ht="16" thickBot="1">
      <c r="B13" s="18"/>
      <c r="C13" s="61"/>
      <c r="D13" s="62"/>
      <c r="E13" s="13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</row>
    <row r="14" spans="2:22" ht="16" thickBot="1">
      <c r="C14" s="61"/>
      <c r="D14" s="62"/>
      <c r="E14" s="45"/>
      <c r="F14" s="29" t="s">
        <v>38</v>
      </c>
      <c r="G14" s="30"/>
      <c r="H14" s="31">
        <f>H5-H9</f>
        <v>57027.945205479453</v>
      </c>
      <c r="I14" s="31">
        <f t="shared" ref="I14:T14" si="2">I5-I9</f>
        <v>57027.945205479453</v>
      </c>
      <c r="J14" s="31">
        <f t="shared" si="2"/>
        <v>57027.945205479453</v>
      </c>
      <c r="K14" s="31">
        <f t="shared" si="2"/>
        <v>57027.945205479453</v>
      </c>
      <c r="L14" s="31">
        <f t="shared" si="2"/>
        <v>57027.945205479453</v>
      </c>
      <c r="M14" s="31">
        <f t="shared" si="2"/>
        <v>57027.945205479453</v>
      </c>
      <c r="N14" s="31">
        <f t="shared" si="2"/>
        <v>57027.945205479453</v>
      </c>
      <c r="O14" s="31">
        <f t="shared" si="2"/>
        <v>57027.945205479453</v>
      </c>
      <c r="P14" s="31">
        <f t="shared" si="2"/>
        <v>57027.945205479453</v>
      </c>
      <c r="Q14" s="31">
        <f t="shared" si="2"/>
        <v>57027.945205479453</v>
      </c>
      <c r="R14" s="31">
        <f t="shared" si="2"/>
        <v>57027.945205479453</v>
      </c>
      <c r="S14" s="31">
        <f t="shared" si="2"/>
        <v>57027.945205479453</v>
      </c>
      <c r="T14" s="31">
        <f t="shared" si="2"/>
        <v>57027.945205479453</v>
      </c>
      <c r="U14" s="33"/>
      <c r="V14" s="28"/>
    </row>
    <row r="15" spans="2:22">
      <c r="C15" s="61"/>
      <c r="D15" s="59"/>
      <c r="E15" s="45"/>
    </row>
    <row r="16" spans="2:22" ht="15" thickBot="1">
      <c r="D16" s="45"/>
    </row>
    <row r="17" spans="2:10" ht="15" thickBot="1">
      <c r="B17" s="95" t="s">
        <v>90</v>
      </c>
      <c r="C17" s="96" t="s">
        <v>91</v>
      </c>
      <c r="D17" s="185" t="s">
        <v>92</v>
      </c>
      <c r="E17" s="185"/>
      <c r="F17" s="185"/>
      <c r="G17" s="185"/>
      <c r="H17" s="185"/>
      <c r="I17" s="185"/>
      <c r="J17" s="186"/>
    </row>
    <row r="18" spans="2:10">
      <c r="B18" s="81">
        <v>1</v>
      </c>
      <c r="C18" s="93" t="s">
        <v>115</v>
      </c>
      <c r="D18" s="187" t="s">
        <v>103</v>
      </c>
      <c r="E18" s="188"/>
      <c r="F18" s="188"/>
      <c r="G18" s="188"/>
      <c r="H18" s="188"/>
      <c r="I18" s="188"/>
      <c r="J18" s="189"/>
    </row>
    <row r="19" spans="2:10">
      <c r="B19" s="82">
        <v>2</v>
      </c>
      <c r="C19" s="92" t="s">
        <v>116</v>
      </c>
      <c r="D19" s="190" t="s">
        <v>104</v>
      </c>
      <c r="E19" s="191"/>
      <c r="F19" s="191"/>
      <c r="G19" s="191"/>
      <c r="H19" s="191"/>
      <c r="I19" s="191"/>
      <c r="J19" s="192"/>
    </row>
    <row r="20" spans="2:10" ht="27.75" customHeight="1">
      <c r="B20" s="82">
        <v>3</v>
      </c>
      <c r="C20" s="92" t="s">
        <v>117</v>
      </c>
      <c r="D20" s="190" t="s">
        <v>105</v>
      </c>
      <c r="E20" s="191"/>
      <c r="F20" s="191"/>
      <c r="G20" s="191"/>
      <c r="H20" s="191"/>
      <c r="I20" s="191"/>
      <c r="J20" s="192"/>
    </row>
    <row r="21" spans="2:10">
      <c r="B21" s="82">
        <v>4</v>
      </c>
      <c r="C21" s="92" t="s">
        <v>118</v>
      </c>
      <c r="D21" s="190" t="s">
        <v>106</v>
      </c>
      <c r="E21" s="191"/>
      <c r="F21" s="191"/>
      <c r="G21" s="191"/>
      <c r="H21" s="191"/>
      <c r="I21" s="191"/>
      <c r="J21" s="192"/>
    </row>
    <row r="22" spans="2:10">
      <c r="B22" s="82">
        <v>5</v>
      </c>
      <c r="C22" s="92" t="s">
        <v>142</v>
      </c>
      <c r="D22" s="190" t="s">
        <v>107</v>
      </c>
      <c r="E22" s="191"/>
      <c r="F22" s="191"/>
      <c r="G22" s="191"/>
      <c r="H22" s="191"/>
      <c r="I22" s="191"/>
      <c r="J22" s="192"/>
    </row>
    <row r="23" spans="2:10" ht="15" thickBot="1">
      <c r="B23" s="83">
        <v>6</v>
      </c>
      <c r="C23" s="94" t="s">
        <v>143</v>
      </c>
      <c r="D23" s="182" t="s">
        <v>97</v>
      </c>
      <c r="E23" s="183"/>
      <c r="F23" s="183"/>
      <c r="G23" s="183"/>
      <c r="H23" s="183"/>
      <c r="I23" s="183"/>
      <c r="J23" s="184"/>
    </row>
    <row r="25" spans="2:10">
      <c r="B25" s="18" t="s">
        <v>76</v>
      </c>
    </row>
    <row r="26" spans="2:10">
      <c r="B26" s="18" t="s">
        <v>77</v>
      </c>
    </row>
    <row r="29" spans="2:10">
      <c r="B29" s="79" t="s">
        <v>5</v>
      </c>
    </row>
    <row r="30" spans="2:10">
      <c r="B30" s="79" t="s">
        <v>121</v>
      </c>
    </row>
    <row r="31" spans="2:10">
      <c r="B31" s="79" t="s">
        <v>122</v>
      </c>
    </row>
    <row r="32" spans="2:10">
      <c r="B32" s="79" t="s">
        <v>6</v>
      </c>
    </row>
    <row r="33" spans="2:2">
      <c r="B33" s="79" t="s">
        <v>7</v>
      </c>
    </row>
    <row r="34" spans="2:2">
      <c r="B34" s="79"/>
    </row>
    <row r="35" spans="2:2">
      <c r="B35" s="79" t="s">
        <v>8</v>
      </c>
    </row>
    <row r="37" spans="2:2">
      <c r="B37" s="145"/>
    </row>
    <row r="38" spans="2:2">
      <c r="B38" s="145"/>
    </row>
  </sheetData>
  <mergeCells count="7">
    <mergeCell ref="D23:J23"/>
    <mergeCell ref="D17:J17"/>
    <mergeCell ref="D18:J18"/>
    <mergeCell ref="D19:J19"/>
    <mergeCell ref="D20:J20"/>
    <mergeCell ref="D21:J21"/>
    <mergeCell ref="D22:J22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zoomScale="80" zoomScaleNormal="80" zoomScalePageLayoutView="80" workbookViewId="0">
      <selection activeCell="B31" sqref="B31"/>
    </sheetView>
  </sheetViews>
  <sheetFormatPr baseColWidth="10" defaultColWidth="8.83203125" defaultRowHeight="14" x14ac:dyDescent="0"/>
  <cols>
    <col min="1" max="1" width="1.5" style="1" customWidth="1"/>
    <col min="2" max="2" width="39.6640625" style="1" customWidth="1"/>
    <col min="3" max="3" width="15.1640625" style="1" customWidth="1"/>
    <col min="4" max="4" width="15.1640625" style="1" bestFit="1" customWidth="1"/>
    <col min="5" max="5" width="8.83203125" style="1"/>
    <col min="6" max="6" width="24.1640625" style="1" customWidth="1"/>
    <col min="7" max="7" width="16.5" style="1" customWidth="1"/>
    <col min="8" max="9" width="12.33203125" style="1" bestFit="1" customWidth="1"/>
    <col min="10" max="12" width="11.5" style="1" bestFit="1" customWidth="1"/>
    <col min="13" max="13" width="13.83203125" style="1" customWidth="1"/>
    <col min="14" max="14" width="13" style="1" bestFit="1" customWidth="1"/>
    <col min="15" max="15" width="14.1640625" style="1" bestFit="1" customWidth="1"/>
    <col min="16" max="16" width="15.1640625" style="1" bestFit="1" customWidth="1"/>
    <col min="17" max="20" width="16.83203125" style="1" bestFit="1" customWidth="1"/>
    <col min="21" max="21" width="1.5" style="1" customWidth="1"/>
    <col min="22" max="22" width="15.5" style="1" customWidth="1"/>
    <col min="23" max="16384" width="8.83203125" style="1"/>
  </cols>
  <sheetData>
    <row r="1" spans="2:24" ht="20">
      <c r="B1" s="3" t="s">
        <v>75</v>
      </c>
      <c r="C1" s="4"/>
      <c r="E1" s="4"/>
      <c r="F1" s="4"/>
      <c r="G1" s="4"/>
      <c r="H1" s="4"/>
    </row>
    <row r="2" spans="2:24" ht="15" thickBot="1"/>
    <row r="3" spans="2:24" ht="16" thickBot="1">
      <c r="D3" s="63"/>
      <c r="E3" s="6"/>
      <c r="F3" s="7" t="s">
        <v>40</v>
      </c>
      <c r="G3" s="52">
        <v>0</v>
      </c>
      <c r="H3" s="53">
        <v>1</v>
      </c>
      <c r="I3" s="53">
        <v>2</v>
      </c>
      <c r="J3" s="53">
        <v>3</v>
      </c>
      <c r="K3" s="53">
        <v>4</v>
      </c>
      <c r="L3" s="53">
        <v>5</v>
      </c>
      <c r="M3" s="53">
        <v>6</v>
      </c>
      <c r="N3" s="53">
        <v>7</v>
      </c>
      <c r="O3" s="53">
        <v>8</v>
      </c>
      <c r="P3" s="53">
        <v>9</v>
      </c>
      <c r="Q3" s="53">
        <v>10</v>
      </c>
      <c r="R3" s="53">
        <v>11</v>
      </c>
      <c r="S3" s="53">
        <v>12</v>
      </c>
      <c r="T3" s="54">
        <v>13</v>
      </c>
      <c r="U3" s="8"/>
      <c r="V3" s="9" t="s">
        <v>59</v>
      </c>
    </row>
    <row r="4" spans="2:24" ht="16" thickBot="1">
      <c r="D4" s="64"/>
      <c r="F4" s="4" t="s">
        <v>35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3"/>
      <c r="V4" s="14"/>
    </row>
    <row r="5" spans="2:24" ht="16" thickBot="1">
      <c r="B5" s="109" t="s">
        <v>21</v>
      </c>
      <c r="C5" s="110" t="s">
        <v>17</v>
      </c>
      <c r="D5" s="107" t="s">
        <v>27</v>
      </c>
      <c r="E5" s="6"/>
      <c r="F5" s="1" t="s">
        <v>84</v>
      </c>
      <c r="G5" s="15"/>
      <c r="H5" s="16"/>
      <c r="I5" s="16"/>
      <c r="J5" s="16"/>
      <c r="K5" s="16"/>
      <c r="L5" s="16"/>
      <c r="M5" s="16">
        <f t="shared" ref="M5:T5" si="0">$D$6*($D$7-$D$8)*$D$9</f>
        <v>585000</v>
      </c>
      <c r="N5" s="16">
        <f t="shared" si="0"/>
        <v>585000</v>
      </c>
      <c r="O5" s="16">
        <f t="shared" si="0"/>
        <v>585000</v>
      </c>
      <c r="P5" s="16">
        <f t="shared" si="0"/>
        <v>585000</v>
      </c>
      <c r="Q5" s="16">
        <f t="shared" si="0"/>
        <v>585000</v>
      </c>
      <c r="R5" s="16">
        <f t="shared" si="0"/>
        <v>585000</v>
      </c>
      <c r="S5" s="16">
        <f t="shared" si="0"/>
        <v>585000</v>
      </c>
      <c r="T5" s="56">
        <f t="shared" si="0"/>
        <v>585000</v>
      </c>
      <c r="U5" s="16"/>
      <c r="V5" s="17">
        <f>SUM(H5:T5)</f>
        <v>4680000</v>
      </c>
    </row>
    <row r="6" spans="2:24" ht="15">
      <c r="B6" s="36" t="s">
        <v>78</v>
      </c>
      <c r="C6" s="111" t="s">
        <v>19</v>
      </c>
      <c r="D6" s="99">
        <v>4500</v>
      </c>
      <c r="E6" s="6"/>
      <c r="F6" s="19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6"/>
      <c r="U6" s="16"/>
      <c r="V6" s="17"/>
    </row>
    <row r="7" spans="2:24" ht="15">
      <c r="B7" s="97" t="s">
        <v>67</v>
      </c>
      <c r="C7" s="113" t="s">
        <v>20</v>
      </c>
      <c r="D7" s="100">
        <v>400</v>
      </c>
      <c r="E7" s="6"/>
      <c r="F7" s="8"/>
      <c r="G7" s="15"/>
      <c r="H7" s="16"/>
      <c r="I7" s="16"/>
      <c r="J7" s="16"/>
      <c r="K7" s="16"/>
      <c r="L7" s="16"/>
      <c r="M7" s="20"/>
      <c r="N7" s="20"/>
      <c r="O7" s="20"/>
      <c r="P7" s="20"/>
      <c r="Q7" s="20"/>
      <c r="R7" s="20"/>
      <c r="S7" s="20"/>
      <c r="T7" s="21"/>
      <c r="U7" s="20"/>
      <c r="V7" s="17"/>
      <c r="W7" s="45"/>
      <c r="X7" s="45"/>
    </row>
    <row r="8" spans="2:24" ht="15" thickBot="1">
      <c r="B8" s="97" t="s">
        <v>66</v>
      </c>
      <c r="C8" s="113" t="s">
        <v>20</v>
      </c>
      <c r="D8" s="100">
        <v>270</v>
      </c>
      <c r="E8" s="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/>
      <c r="V8" s="68"/>
      <c r="W8" s="45"/>
    </row>
    <row r="9" spans="2:24" ht="15.75" customHeight="1" thickBot="1">
      <c r="B9" s="98" t="s">
        <v>114</v>
      </c>
      <c r="C9" s="114" t="s">
        <v>4</v>
      </c>
      <c r="D9" s="118">
        <v>1</v>
      </c>
      <c r="E9" s="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65"/>
      <c r="W9" s="45"/>
    </row>
    <row r="10" spans="2:24" ht="16" thickBot="1">
      <c r="B10" s="18"/>
      <c r="C10" s="60"/>
      <c r="D10" s="59"/>
      <c r="E10" s="6"/>
      <c r="F10" s="29" t="s">
        <v>38</v>
      </c>
      <c r="G10" s="30"/>
      <c r="H10" s="31">
        <f>H7-H5</f>
        <v>0</v>
      </c>
      <c r="I10" s="31">
        <f>I7-I5</f>
        <v>0</v>
      </c>
      <c r="J10" s="31">
        <f>J7-J5</f>
        <v>0</v>
      </c>
      <c r="K10" s="31">
        <f>K7-K5</f>
        <v>0</v>
      </c>
      <c r="L10" s="31">
        <f>L7-L5</f>
        <v>0</v>
      </c>
      <c r="M10" s="31">
        <f>M5</f>
        <v>585000</v>
      </c>
      <c r="N10" s="31">
        <f t="shared" ref="N10:T10" si="1">N5</f>
        <v>585000</v>
      </c>
      <c r="O10" s="31">
        <f t="shared" si="1"/>
        <v>585000</v>
      </c>
      <c r="P10" s="31">
        <f t="shared" si="1"/>
        <v>585000</v>
      </c>
      <c r="Q10" s="31">
        <f t="shared" si="1"/>
        <v>585000</v>
      </c>
      <c r="R10" s="31">
        <f t="shared" si="1"/>
        <v>585000</v>
      </c>
      <c r="S10" s="31">
        <f t="shared" si="1"/>
        <v>585000</v>
      </c>
      <c r="T10" s="32">
        <f t="shared" si="1"/>
        <v>585000</v>
      </c>
      <c r="U10" s="33"/>
      <c r="V10" s="67">
        <f>SUM(V5:V6)</f>
        <v>4680000</v>
      </c>
      <c r="W10" s="45"/>
    </row>
    <row r="11" spans="2:24" ht="15">
      <c r="E11" s="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66"/>
      <c r="W11" s="45"/>
    </row>
    <row r="12" spans="2:24" ht="16" thickBot="1">
      <c r="C12" s="45"/>
      <c r="D12" s="45"/>
      <c r="E12" s="6"/>
      <c r="F12" s="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66"/>
      <c r="W12" s="45"/>
    </row>
    <row r="13" spans="2:24" ht="15" thickBot="1">
      <c r="B13" s="89" t="s">
        <v>90</v>
      </c>
      <c r="C13" s="89" t="s">
        <v>91</v>
      </c>
      <c r="D13" s="161" t="s">
        <v>92</v>
      </c>
      <c r="E13" s="162"/>
      <c r="F13" s="162"/>
      <c r="G13" s="162"/>
      <c r="H13" s="162"/>
      <c r="I13" s="162"/>
      <c r="J13" s="163"/>
    </row>
    <row r="14" spans="2:24">
      <c r="B14" s="81">
        <v>1</v>
      </c>
      <c r="C14" s="93" t="s">
        <v>115</v>
      </c>
      <c r="D14" s="193" t="s">
        <v>108</v>
      </c>
      <c r="E14" s="194"/>
      <c r="F14" s="194"/>
      <c r="G14" s="194"/>
      <c r="H14" s="194"/>
      <c r="I14" s="194"/>
      <c r="J14" s="195"/>
    </row>
    <row r="15" spans="2:24">
      <c r="B15" s="82">
        <v>2</v>
      </c>
      <c r="C15" s="92" t="s">
        <v>116</v>
      </c>
      <c r="D15" s="196" t="s">
        <v>109</v>
      </c>
      <c r="E15" s="197"/>
      <c r="F15" s="197"/>
      <c r="G15" s="197"/>
      <c r="H15" s="197"/>
      <c r="I15" s="197"/>
      <c r="J15" s="198"/>
    </row>
    <row r="16" spans="2:24">
      <c r="B16" s="82">
        <v>3</v>
      </c>
      <c r="C16" s="92" t="s">
        <v>117</v>
      </c>
      <c r="D16" s="196" t="s">
        <v>106</v>
      </c>
      <c r="E16" s="197"/>
      <c r="F16" s="197"/>
      <c r="G16" s="197"/>
      <c r="H16" s="197"/>
      <c r="I16" s="197"/>
      <c r="J16" s="198"/>
    </row>
    <row r="17" spans="2:10" ht="15" thickBot="1">
      <c r="B17" s="83">
        <v>4</v>
      </c>
      <c r="C17" s="94" t="s">
        <v>118</v>
      </c>
      <c r="D17" s="199" t="s">
        <v>106</v>
      </c>
      <c r="E17" s="200"/>
      <c r="F17" s="200"/>
      <c r="G17" s="200"/>
      <c r="H17" s="200"/>
      <c r="I17" s="200"/>
      <c r="J17" s="201"/>
    </row>
    <row r="19" spans="2:10">
      <c r="B19" s="91" t="s">
        <v>8</v>
      </c>
    </row>
    <row r="20" spans="2:10">
      <c r="B20" s="1" t="s">
        <v>79</v>
      </c>
    </row>
    <row r="21" spans="2:10">
      <c r="B21" s="1" t="s">
        <v>80</v>
      </c>
    </row>
    <row r="23" spans="2:10">
      <c r="B23" s="1" t="s">
        <v>110</v>
      </c>
    </row>
    <row r="25" spans="2:10">
      <c r="B25" s="1" t="s">
        <v>111</v>
      </c>
    </row>
    <row r="27" spans="2:10">
      <c r="B27" s="1" t="s">
        <v>112</v>
      </c>
    </row>
    <row r="29" spans="2:10">
      <c r="D29" s="45"/>
    </row>
  </sheetData>
  <mergeCells count="5">
    <mergeCell ref="D13:J13"/>
    <mergeCell ref="D14:J14"/>
    <mergeCell ref="D15:J15"/>
    <mergeCell ref="D16:J16"/>
    <mergeCell ref="D17:J1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zoomScale="80" zoomScaleNormal="80" zoomScalePageLayoutView="80" workbookViewId="0">
      <selection activeCell="H17" sqref="H17"/>
    </sheetView>
  </sheetViews>
  <sheetFormatPr baseColWidth="10" defaultColWidth="8.83203125" defaultRowHeight="14" x14ac:dyDescent="0"/>
  <cols>
    <col min="1" max="1" width="1.5" style="1" customWidth="1"/>
    <col min="2" max="2" width="39.6640625" style="1" customWidth="1"/>
    <col min="3" max="3" width="15.1640625" style="1" customWidth="1"/>
    <col min="4" max="4" width="15.1640625" style="1" bestFit="1" customWidth="1"/>
    <col min="5" max="5" width="8.83203125" style="1"/>
    <col min="6" max="6" width="24.1640625" style="1" customWidth="1"/>
    <col min="7" max="7" width="16.5" style="1" customWidth="1"/>
    <col min="8" max="9" width="12.33203125" style="1" bestFit="1" customWidth="1"/>
    <col min="10" max="12" width="11.5" style="1" bestFit="1" customWidth="1"/>
    <col min="13" max="13" width="13.83203125" style="1" customWidth="1"/>
    <col min="14" max="14" width="13" style="1" bestFit="1" customWidth="1"/>
    <col min="15" max="15" width="14.1640625" style="1" bestFit="1" customWidth="1"/>
    <col min="16" max="16" width="15.1640625" style="1" bestFit="1" customWidth="1"/>
    <col min="17" max="20" width="16.83203125" style="1" bestFit="1" customWidth="1"/>
    <col min="21" max="21" width="1.5" style="1" customWidth="1"/>
    <col min="22" max="22" width="15.5" style="1" customWidth="1"/>
    <col min="23" max="16384" width="8.83203125" style="1"/>
  </cols>
  <sheetData>
    <row r="1" spans="2:24" ht="20">
      <c r="B1" s="3" t="s">
        <v>75</v>
      </c>
      <c r="C1" s="4"/>
      <c r="E1" s="4"/>
      <c r="F1" s="4"/>
      <c r="G1" s="4"/>
      <c r="H1" s="4"/>
    </row>
    <row r="2" spans="2:24" ht="15" thickBot="1"/>
    <row r="3" spans="2:24" ht="16" thickBot="1">
      <c r="D3" s="63"/>
      <c r="E3" s="6"/>
      <c r="F3" s="7" t="s">
        <v>40</v>
      </c>
      <c r="G3" s="119">
        <v>0</v>
      </c>
      <c r="H3" s="120">
        <v>1</v>
      </c>
      <c r="I3" s="120">
        <v>2</v>
      </c>
      <c r="J3" s="120">
        <v>3</v>
      </c>
      <c r="K3" s="120">
        <v>4</v>
      </c>
      <c r="L3" s="120">
        <v>5</v>
      </c>
      <c r="M3" s="120">
        <v>6</v>
      </c>
      <c r="N3" s="120">
        <v>7</v>
      </c>
      <c r="O3" s="120">
        <v>8</v>
      </c>
      <c r="P3" s="120">
        <v>9</v>
      </c>
      <c r="Q3" s="120">
        <v>10</v>
      </c>
      <c r="R3" s="120">
        <v>11</v>
      </c>
      <c r="S3" s="120">
        <v>12</v>
      </c>
      <c r="T3" s="121">
        <v>13</v>
      </c>
      <c r="U3" s="8"/>
      <c r="V3" s="9" t="s">
        <v>59</v>
      </c>
    </row>
    <row r="4" spans="2:24" ht="16" thickBot="1">
      <c r="D4" s="64"/>
      <c r="F4" s="4" t="s">
        <v>35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3"/>
      <c r="V4" s="14"/>
    </row>
    <row r="5" spans="2:24" ht="16" thickBot="1">
      <c r="B5" s="109" t="s">
        <v>21</v>
      </c>
      <c r="C5" s="110" t="s">
        <v>17</v>
      </c>
      <c r="D5" s="107" t="s">
        <v>27</v>
      </c>
      <c r="E5" s="6"/>
      <c r="F5" s="1" t="s">
        <v>84</v>
      </c>
      <c r="G5" s="15">
        <f>G28-G17</f>
        <v>0</v>
      </c>
      <c r="H5" s="13">
        <f t="shared" ref="H5:T5" si="0">H28-H17</f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585000</v>
      </c>
      <c r="N5" s="13">
        <f t="shared" si="0"/>
        <v>585000</v>
      </c>
      <c r="O5" s="13">
        <f t="shared" si="0"/>
        <v>585000</v>
      </c>
      <c r="P5" s="13">
        <f t="shared" si="0"/>
        <v>585000</v>
      </c>
      <c r="Q5" s="13">
        <f t="shared" si="0"/>
        <v>585000</v>
      </c>
      <c r="R5" s="13">
        <f t="shared" si="0"/>
        <v>585000</v>
      </c>
      <c r="S5" s="13">
        <f t="shared" si="0"/>
        <v>585000</v>
      </c>
      <c r="T5" s="22">
        <f t="shared" si="0"/>
        <v>585000</v>
      </c>
      <c r="U5" s="16"/>
      <c r="V5" s="17">
        <f>SUM(H5:T5)</f>
        <v>4680000</v>
      </c>
    </row>
    <row r="6" spans="2:24" ht="15">
      <c r="B6" s="36" t="s">
        <v>78</v>
      </c>
      <c r="C6" s="111" t="s">
        <v>19</v>
      </c>
      <c r="D6" s="99">
        <v>4500</v>
      </c>
      <c r="E6" s="6"/>
      <c r="F6" s="19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6"/>
      <c r="U6" s="16"/>
      <c r="V6" s="17"/>
    </row>
    <row r="7" spans="2:24" ht="15">
      <c r="B7" s="97" t="s">
        <v>67</v>
      </c>
      <c r="C7" s="113" t="s">
        <v>20</v>
      </c>
      <c r="D7" s="100">
        <v>400</v>
      </c>
      <c r="E7" s="6"/>
      <c r="F7" s="8"/>
      <c r="G7" s="15"/>
      <c r="H7" s="16"/>
      <c r="I7" s="16"/>
      <c r="J7" s="16"/>
      <c r="K7" s="16"/>
      <c r="L7" s="16"/>
      <c r="M7" s="20"/>
      <c r="N7" s="20"/>
      <c r="O7" s="20"/>
      <c r="P7" s="20"/>
      <c r="Q7" s="20"/>
      <c r="R7" s="20"/>
      <c r="S7" s="20"/>
      <c r="T7" s="21"/>
      <c r="U7" s="20"/>
      <c r="V7" s="17"/>
      <c r="W7" s="45"/>
      <c r="X7" s="45"/>
    </row>
    <row r="8" spans="2:24" ht="15" thickBot="1">
      <c r="B8" s="97" t="s">
        <v>66</v>
      </c>
      <c r="C8" s="113" t="s">
        <v>20</v>
      </c>
      <c r="D8" s="100">
        <v>270</v>
      </c>
      <c r="E8" s="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/>
      <c r="V8" s="68"/>
      <c r="W8" s="45"/>
    </row>
    <row r="9" spans="2:24" ht="15.75" customHeight="1" thickBot="1">
      <c r="B9" s="98" t="s">
        <v>114</v>
      </c>
      <c r="C9" s="114" t="s">
        <v>4</v>
      </c>
      <c r="D9" s="118">
        <v>1</v>
      </c>
      <c r="E9" s="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65"/>
      <c r="W9" s="45"/>
    </row>
    <row r="10" spans="2:24" ht="16" thickBot="1">
      <c r="B10" s="18"/>
      <c r="C10" s="60"/>
      <c r="D10" s="59"/>
      <c r="E10" s="6"/>
      <c r="F10" s="29" t="s">
        <v>38</v>
      </c>
      <c r="G10" s="30"/>
      <c r="H10" s="31">
        <f>H7-H5</f>
        <v>0</v>
      </c>
      <c r="I10" s="31">
        <f>I7-I5</f>
        <v>0</v>
      </c>
      <c r="J10" s="31">
        <f>J7-J5</f>
        <v>0</v>
      </c>
      <c r="K10" s="31">
        <f>K7-K5</f>
        <v>0</v>
      </c>
      <c r="L10" s="31">
        <f>L7-L5</f>
        <v>0</v>
      </c>
      <c r="M10" s="31">
        <f>M5</f>
        <v>585000</v>
      </c>
      <c r="N10" s="31">
        <f t="shared" ref="N10:T10" si="1">N5</f>
        <v>585000</v>
      </c>
      <c r="O10" s="31">
        <f t="shared" si="1"/>
        <v>585000</v>
      </c>
      <c r="P10" s="31">
        <f t="shared" si="1"/>
        <v>585000</v>
      </c>
      <c r="Q10" s="31">
        <f t="shared" si="1"/>
        <v>585000</v>
      </c>
      <c r="R10" s="31">
        <f t="shared" si="1"/>
        <v>585000</v>
      </c>
      <c r="S10" s="31">
        <f t="shared" si="1"/>
        <v>585000</v>
      </c>
      <c r="T10" s="32">
        <f t="shared" si="1"/>
        <v>585000</v>
      </c>
      <c r="U10" s="33"/>
      <c r="V10" s="67">
        <f>SUM(V5:V6)</f>
        <v>4680000</v>
      </c>
      <c r="W10" s="45"/>
    </row>
    <row r="11" spans="2:24" ht="15">
      <c r="E11" s="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66"/>
      <c r="W11" s="45"/>
    </row>
    <row r="12" spans="2:24" ht="15">
      <c r="C12" s="45"/>
      <c r="D12" s="45"/>
      <c r="E12" s="6"/>
      <c r="F12" s="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66"/>
      <c r="W12" s="45"/>
    </row>
    <row r="13" spans="2:24" ht="15" thickBot="1"/>
    <row r="14" spans="2:24" ht="15" thickBot="1">
      <c r="F14" s="137" t="s">
        <v>119</v>
      </c>
    </row>
    <row r="15" spans="2:24" ht="16" thickBot="1">
      <c r="F15" s="7" t="s">
        <v>40</v>
      </c>
      <c r="G15" s="119">
        <v>0</v>
      </c>
      <c r="H15" s="120">
        <v>1</v>
      </c>
      <c r="I15" s="120">
        <v>2</v>
      </c>
      <c r="J15" s="120">
        <v>3</v>
      </c>
      <c r="K15" s="120">
        <v>4</v>
      </c>
      <c r="L15" s="120">
        <v>5</v>
      </c>
      <c r="M15" s="120">
        <v>6</v>
      </c>
      <c r="N15" s="120">
        <v>7</v>
      </c>
      <c r="O15" s="120">
        <v>8</v>
      </c>
      <c r="P15" s="120">
        <v>9</v>
      </c>
      <c r="Q15" s="120">
        <v>10</v>
      </c>
      <c r="R15" s="120">
        <v>11</v>
      </c>
      <c r="S15" s="120">
        <v>12</v>
      </c>
      <c r="T15" s="121">
        <v>13</v>
      </c>
      <c r="U15" s="8"/>
      <c r="V15" s="9" t="s">
        <v>59</v>
      </c>
    </row>
    <row r="16" spans="2:24" ht="15">
      <c r="F16" s="4" t="s">
        <v>35</v>
      </c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3"/>
      <c r="V16" s="14"/>
    </row>
    <row r="17" spans="6:22" ht="15">
      <c r="F17" s="1" t="s">
        <v>84</v>
      </c>
      <c r="G17" s="15">
        <f>$D$6*($D$7-$D$8)</f>
        <v>585000</v>
      </c>
      <c r="H17" s="13">
        <f t="shared" ref="H17:L17" si="2">$D$6*($D$7-$D$8)</f>
        <v>585000</v>
      </c>
      <c r="I17" s="13">
        <f t="shared" si="2"/>
        <v>585000</v>
      </c>
      <c r="J17" s="13">
        <f t="shared" si="2"/>
        <v>585000</v>
      </c>
      <c r="K17" s="13">
        <f t="shared" si="2"/>
        <v>585000</v>
      </c>
      <c r="L17" s="13">
        <f t="shared" si="2"/>
        <v>585000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/>
      <c r="V17" s="17">
        <f>SUM(H17:T17)</f>
        <v>2925000</v>
      </c>
    </row>
    <row r="18" spans="6:22" ht="15">
      <c r="F18" s="19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56"/>
      <c r="U18" s="16"/>
      <c r="V18" s="17"/>
    </row>
    <row r="19" spans="6:22" ht="15">
      <c r="F19" s="8"/>
      <c r="G19" s="15"/>
      <c r="H19" s="16"/>
      <c r="I19" s="16"/>
      <c r="J19" s="16"/>
      <c r="K19" s="16"/>
      <c r="L19" s="16"/>
      <c r="M19" s="20"/>
      <c r="N19" s="20"/>
      <c r="O19" s="20"/>
      <c r="P19" s="20"/>
      <c r="Q19" s="20"/>
      <c r="R19" s="20"/>
      <c r="S19" s="20"/>
      <c r="T19" s="21"/>
      <c r="U19" s="20"/>
      <c r="V19" s="17"/>
    </row>
    <row r="20" spans="6:22" ht="15" thickBot="1"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9"/>
      <c r="V20" s="68"/>
    </row>
    <row r="21" spans="6:22" ht="19" thickBot="1"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5"/>
    </row>
    <row r="22" spans="6:22" ht="16" thickBot="1">
      <c r="F22" s="29" t="s">
        <v>38</v>
      </c>
      <c r="G22" s="30"/>
      <c r="H22" s="31">
        <f>H19-H17</f>
        <v>-585000</v>
      </c>
      <c r="I22" s="31">
        <f>I19-I17</f>
        <v>-585000</v>
      </c>
      <c r="J22" s="31">
        <f>J19-J17</f>
        <v>-585000</v>
      </c>
      <c r="K22" s="31">
        <f>K19-K17</f>
        <v>-585000</v>
      </c>
      <c r="L22" s="31">
        <f>L19-L17</f>
        <v>-585000</v>
      </c>
      <c r="M22" s="31">
        <f>M17</f>
        <v>0</v>
      </c>
      <c r="N22" s="31">
        <f t="shared" ref="N22:T22" si="3">N17</f>
        <v>0</v>
      </c>
      <c r="O22" s="31">
        <f t="shared" si="3"/>
        <v>0</v>
      </c>
      <c r="P22" s="31">
        <f t="shared" si="3"/>
        <v>0</v>
      </c>
      <c r="Q22" s="31">
        <f t="shared" si="3"/>
        <v>0</v>
      </c>
      <c r="R22" s="31">
        <f t="shared" si="3"/>
        <v>0</v>
      </c>
      <c r="S22" s="31">
        <f t="shared" si="3"/>
        <v>0</v>
      </c>
      <c r="T22" s="32">
        <f t="shared" si="3"/>
        <v>0</v>
      </c>
      <c r="U22" s="33"/>
      <c r="V22" s="67">
        <f>SUM(V17:V18)</f>
        <v>2925000</v>
      </c>
    </row>
    <row r="25" spans="6:22" ht="15" thickBot="1">
      <c r="F25" s="136" t="s">
        <v>120</v>
      </c>
    </row>
    <row r="26" spans="6:22" ht="16" thickBot="1">
      <c r="F26" s="7" t="s">
        <v>40</v>
      </c>
      <c r="G26" s="52">
        <v>0</v>
      </c>
      <c r="H26" s="53">
        <v>1</v>
      </c>
      <c r="I26" s="53">
        <v>2</v>
      </c>
      <c r="J26" s="53">
        <v>3</v>
      </c>
      <c r="K26" s="53">
        <v>4</v>
      </c>
      <c r="L26" s="53">
        <v>5</v>
      </c>
      <c r="M26" s="53">
        <v>6</v>
      </c>
      <c r="N26" s="53">
        <v>7</v>
      </c>
      <c r="O26" s="53">
        <v>8</v>
      </c>
      <c r="P26" s="53">
        <v>9</v>
      </c>
      <c r="Q26" s="53">
        <v>10</v>
      </c>
      <c r="R26" s="53">
        <v>11</v>
      </c>
      <c r="S26" s="53">
        <v>12</v>
      </c>
      <c r="T26" s="54">
        <v>13</v>
      </c>
      <c r="U26" s="8"/>
      <c r="V26" s="9" t="s">
        <v>59</v>
      </c>
    </row>
    <row r="27" spans="6:22" ht="15">
      <c r="F27" s="4" t="s">
        <v>35</v>
      </c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3"/>
      <c r="V27" s="14"/>
    </row>
    <row r="28" spans="6:22" ht="15">
      <c r="F28" s="1" t="s">
        <v>84</v>
      </c>
      <c r="G28" s="16">
        <f>$D$6*($D$7-$D$8)*$D$9</f>
        <v>585000</v>
      </c>
      <c r="H28" s="16">
        <f t="shared" ref="H28:L28" si="4">$D$6*($D$7-$D$8)*$D$9</f>
        <v>585000</v>
      </c>
      <c r="I28" s="16">
        <f t="shared" si="4"/>
        <v>585000</v>
      </c>
      <c r="J28" s="16">
        <f t="shared" si="4"/>
        <v>585000</v>
      </c>
      <c r="K28" s="16">
        <f t="shared" si="4"/>
        <v>585000</v>
      </c>
      <c r="L28" s="16">
        <f t="shared" si="4"/>
        <v>585000</v>
      </c>
      <c r="M28" s="16">
        <f t="shared" ref="M28:T28" si="5">$D$6*($D$7-$D$8)*$D$9</f>
        <v>585000</v>
      </c>
      <c r="N28" s="16">
        <f t="shared" si="5"/>
        <v>585000</v>
      </c>
      <c r="O28" s="16">
        <f t="shared" si="5"/>
        <v>585000</v>
      </c>
      <c r="P28" s="16">
        <f t="shared" si="5"/>
        <v>585000</v>
      </c>
      <c r="Q28" s="16">
        <f t="shared" si="5"/>
        <v>585000</v>
      </c>
      <c r="R28" s="16">
        <f t="shared" si="5"/>
        <v>585000</v>
      </c>
      <c r="S28" s="16">
        <f t="shared" si="5"/>
        <v>585000</v>
      </c>
      <c r="T28" s="56">
        <f t="shared" si="5"/>
        <v>585000</v>
      </c>
      <c r="U28" s="16"/>
      <c r="V28" s="17">
        <f>SUM(H28:T28)</f>
        <v>7605000</v>
      </c>
    </row>
    <row r="29" spans="6:22" ht="15">
      <c r="F29" s="19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56"/>
      <c r="U29" s="16"/>
      <c r="V29" s="17"/>
    </row>
    <row r="30" spans="6:22" ht="15">
      <c r="F30" s="8"/>
      <c r="G30" s="15"/>
      <c r="H30" s="16"/>
      <c r="I30" s="16"/>
      <c r="J30" s="16"/>
      <c r="K30" s="16"/>
      <c r="L30" s="16"/>
      <c r="M30" s="20"/>
      <c r="N30" s="20"/>
      <c r="O30" s="20"/>
      <c r="P30" s="20"/>
      <c r="Q30" s="20"/>
      <c r="R30" s="20"/>
      <c r="S30" s="20"/>
      <c r="T30" s="21"/>
      <c r="U30" s="20"/>
      <c r="V30" s="17"/>
    </row>
    <row r="31" spans="6:22" ht="15" thickBot="1"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V31" s="68"/>
    </row>
    <row r="32" spans="6:22" ht="19" thickBot="1"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65"/>
    </row>
    <row r="33" spans="6:22" ht="16" thickBot="1">
      <c r="F33" s="29" t="s">
        <v>38</v>
      </c>
      <c r="G33" s="30"/>
      <c r="H33" s="31">
        <f>H30-H28</f>
        <v>-585000</v>
      </c>
      <c r="I33" s="31">
        <f>I30-I28</f>
        <v>-585000</v>
      </c>
      <c r="J33" s="31">
        <f>J30-J28</f>
        <v>-585000</v>
      </c>
      <c r="K33" s="31">
        <f>K30-K28</f>
        <v>-585000</v>
      </c>
      <c r="L33" s="31">
        <f>L30-L28</f>
        <v>-585000</v>
      </c>
      <c r="M33" s="31">
        <f>M28</f>
        <v>585000</v>
      </c>
      <c r="N33" s="31">
        <f t="shared" ref="N33:T33" si="6">N28</f>
        <v>585000</v>
      </c>
      <c r="O33" s="31">
        <f t="shared" si="6"/>
        <v>585000</v>
      </c>
      <c r="P33" s="31">
        <f t="shared" si="6"/>
        <v>585000</v>
      </c>
      <c r="Q33" s="31">
        <f t="shared" si="6"/>
        <v>585000</v>
      </c>
      <c r="R33" s="31">
        <f t="shared" si="6"/>
        <v>585000</v>
      </c>
      <c r="S33" s="31">
        <f t="shared" si="6"/>
        <v>585000</v>
      </c>
      <c r="T33" s="32">
        <f t="shared" si="6"/>
        <v>585000</v>
      </c>
      <c r="U33" s="33"/>
      <c r="V33" s="67">
        <f>SUM(V28:V29)</f>
        <v>7605000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C13" zoomScale="80" zoomScaleNormal="80" zoomScalePageLayoutView="80" workbookViewId="0">
      <selection activeCell="R22" sqref="R22"/>
    </sheetView>
  </sheetViews>
  <sheetFormatPr baseColWidth="10" defaultColWidth="8.83203125" defaultRowHeight="14" x14ac:dyDescent="0"/>
  <cols>
    <col min="1" max="1" width="19" style="1" customWidth="1"/>
    <col min="2" max="2" width="30.1640625" style="1" customWidth="1"/>
    <col min="3" max="3" width="12.5" style="1" customWidth="1"/>
    <col min="4" max="4" width="11" style="1" customWidth="1"/>
    <col min="5" max="16" width="11.5" style="1" customWidth="1"/>
    <col min="17" max="17" width="1.5" style="1" customWidth="1"/>
    <col min="18" max="18" width="15.5" style="1" customWidth="1"/>
    <col min="19" max="16384" width="8.83203125" style="1"/>
  </cols>
  <sheetData>
    <row r="1" spans="1:18" ht="23">
      <c r="A1" s="144" t="s">
        <v>87</v>
      </c>
      <c r="B1" s="4"/>
      <c r="C1" s="4"/>
      <c r="D1" s="4"/>
    </row>
    <row r="2" spans="1:18" ht="15" thickBot="1"/>
    <row r="3" spans="1:18" ht="19" thickBot="1">
      <c r="A3" s="6"/>
      <c r="B3" s="122" t="s">
        <v>40</v>
      </c>
      <c r="C3" s="123">
        <v>0</v>
      </c>
      <c r="D3" s="124">
        <v>1</v>
      </c>
      <c r="E3" s="124">
        <v>2</v>
      </c>
      <c r="F3" s="124">
        <v>3</v>
      </c>
      <c r="G3" s="124">
        <v>4</v>
      </c>
      <c r="H3" s="124">
        <v>5</v>
      </c>
      <c r="I3" s="124">
        <v>6</v>
      </c>
      <c r="J3" s="124">
        <v>7</v>
      </c>
      <c r="K3" s="124">
        <v>8</v>
      </c>
      <c r="L3" s="124">
        <v>9</v>
      </c>
      <c r="M3" s="124">
        <v>10</v>
      </c>
      <c r="N3" s="124">
        <v>11</v>
      </c>
      <c r="O3" s="124">
        <v>12</v>
      </c>
      <c r="P3" s="125">
        <v>13</v>
      </c>
      <c r="Q3" s="126"/>
      <c r="R3" s="127" t="s">
        <v>59</v>
      </c>
    </row>
    <row r="4" spans="1:18" ht="18">
      <c r="B4" s="76" t="s">
        <v>35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3"/>
      <c r="R4" s="14"/>
    </row>
    <row r="5" spans="1:18" ht="15">
      <c r="A5" s="202" t="s">
        <v>81</v>
      </c>
      <c r="B5" s="1" t="s">
        <v>34</v>
      </c>
      <c r="C5" s="15"/>
      <c r="D5" s="16">
        <f>Upgrades!J5</f>
        <v>28000</v>
      </c>
      <c r="E5" s="16">
        <f>Upgrades!K5</f>
        <v>28000</v>
      </c>
      <c r="F5" s="16">
        <f>Upgrades!L5</f>
        <v>28000</v>
      </c>
      <c r="G5" s="16">
        <f>Upgrades!M5</f>
        <v>28000</v>
      </c>
      <c r="H5" s="16">
        <f>Upgrades!N5</f>
        <v>28000</v>
      </c>
      <c r="I5" s="16">
        <f>Upgrades!O5</f>
        <v>28000</v>
      </c>
      <c r="J5" s="16">
        <f>Upgrades!P5</f>
        <v>28000</v>
      </c>
      <c r="K5" s="16">
        <f>Upgrades!Q5</f>
        <v>28000</v>
      </c>
      <c r="L5" s="16">
        <f>Upgrades!R5</f>
        <v>28000</v>
      </c>
      <c r="M5" s="16">
        <f>Upgrades!S5</f>
        <v>28000</v>
      </c>
      <c r="N5" s="16">
        <f>Upgrades!T5</f>
        <v>28000</v>
      </c>
      <c r="O5" s="16">
        <f>Upgrades!U5</f>
        <v>28000</v>
      </c>
      <c r="P5" s="56">
        <f>Upgrades!V5</f>
        <v>28000</v>
      </c>
      <c r="Q5" s="16"/>
      <c r="R5" s="17">
        <f>SUM(C5:Q5)</f>
        <v>364000</v>
      </c>
    </row>
    <row r="6" spans="1:18" ht="15" customHeight="1">
      <c r="A6" s="202"/>
      <c r="B6" s="19" t="s">
        <v>55</v>
      </c>
      <c r="C6" s="15"/>
      <c r="D6" s="16">
        <f>Upgrades!J6</f>
        <v>2000</v>
      </c>
      <c r="E6" s="16">
        <f>Upgrades!K6</f>
        <v>4000</v>
      </c>
      <c r="F6" s="16">
        <f>Upgrades!L6</f>
        <v>6000</v>
      </c>
      <c r="G6" s="16">
        <f>Upgrades!M6</f>
        <v>8000</v>
      </c>
      <c r="H6" s="16">
        <f>Upgrades!N6</f>
        <v>10000</v>
      </c>
      <c r="I6" s="16">
        <f>Upgrades!O6</f>
        <v>12000</v>
      </c>
      <c r="J6" s="16">
        <f>Upgrades!P6</f>
        <v>12000</v>
      </c>
      <c r="K6" s="16">
        <f>Upgrades!Q6</f>
        <v>12000</v>
      </c>
      <c r="L6" s="16">
        <f>Upgrades!R6</f>
        <v>12000</v>
      </c>
      <c r="M6" s="16">
        <f>Upgrades!S6</f>
        <v>12000</v>
      </c>
      <c r="N6" s="16">
        <f>Upgrades!T6</f>
        <v>12000</v>
      </c>
      <c r="O6" s="16">
        <f>Upgrades!U6</f>
        <v>12000</v>
      </c>
      <c r="P6" s="56">
        <f>Upgrades!V6</f>
        <v>12000</v>
      </c>
      <c r="Q6" s="16"/>
      <c r="R6" s="17">
        <f>SUM(C6:Q6)</f>
        <v>126000</v>
      </c>
    </row>
    <row r="7" spans="1:18" ht="18">
      <c r="A7" s="12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R7" s="143"/>
    </row>
    <row r="8" spans="1:18" ht="18">
      <c r="A8" s="129" t="s">
        <v>83</v>
      </c>
      <c r="B8" s="1" t="s">
        <v>69</v>
      </c>
      <c r="C8" s="44"/>
      <c r="D8" s="16">
        <f>NewBusiness!H5</f>
        <v>57600</v>
      </c>
      <c r="E8" s="16">
        <f>NewBusiness!I5</f>
        <v>57600</v>
      </c>
      <c r="F8" s="16">
        <f>NewBusiness!J5</f>
        <v>57600</v>
      </c>
      <c r="G8" s="16">
        <f>NewBusiness!K5</f>
        <v>57600</v>
      </c>
      <c r="H8" s="16">
        <f>NewBusiness!L5</f>
        <v>57600</v>
      </c>
      <c r="I8" s="16">
        <f>NewBusiness!M5</f>
        <v>57600</v>
      </c>
      <c r="J8" s="16">
        <f>NewBusiness!N5</f>
        <v>57600</v>
      </c>
      <c r="K8" s="16">
        <f>NewBusiness!O5</f>
        <v>57600</v>
      </c>
      <c r="L8" s="16">
        <f>NewBusiness!P5</f>
        <v>57600</v>
      </c>
      <c r="M8" s="16">
        <f>NewBusiness!Q5</f>
        <v>57600</v>
      </c>
      <c r="N8" s="16">
        <f>NewBusiness!R5</f>
        <v>57600</v>
      </c>
      <c r="O8" s="16">
        <f>NewBusiness!S5</f>
        <v>57600</v>
      </c>
      <c r="P8" s="56">
        <f>NewBusiness!T5</f>
        <v>57600</v>
      </c>
      <c r="R8" s="17">
        <f>SUM(C8:Q8)</f>
        <v>748800</v>
      </c>
    </row>
    <row r="9" spans="1:18" ht="18">
      <c r="A9" s="128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R9" s="143"/>
    </row>
    <row r="10" spans="1:18" ht="18">
      <c r="A10" s="130" t="s">
        <v>75</v>
      </c>
      <c r="B10" s="1" t="s">
        <v>84</v>
      </c>
      <c r="C10" s="44"/>
      <c r="D10" s="16">
        <f>RetainBusiness!H5</f>
        <v>0</v>
      </c>
      <c r="E10" s="16">
        <f>RetainBusiness!I5</f>
        <v>0</v>
      </c>
      <c r="F10" s="16">
        <f>RetainBusiness!J5</f>
        <v>0</v>
      </c>
      <c r="G10" s="16">
        <f>RetainBusiness!K5</f>
        <v>0</v>
      </c>
      <c r="H10" s="16">
        <f>RetainBusiness!L5</f>
        <v>0</v>
      </c>
      <c r="I10" s="16">
        <f>RetainBusiness!M5</f>
        <v>585000</v>
      </c>
      <c r="J10" s="16">
        <f>RetainBusiness!N5</f>
        <v>585000</v>
      </c>
      <c r="K10" s="16">
        <f>RetainBusiness!O5</f>
        <v>585000</v>
      </c>
      <c r="L10" s="16">
        <f>RetainBusiness!P5</f>
        <v>585000</v>
      </c>
      <c r="M10" s="16">
        <f>RetainBusiness!Q5</f>
        <v>585000</v>
      </c>
      <c r="N10" s="16">
        <f>RetainBusiness!R5</f>
        <v>585000</v>
      </c>
      <c r="O10" s="16">
        <f>RetainBusiness!S5</f>
        <v>585000</v>
      </c>
      <c r="P10" s="56">
        <f>RetainBusiness!T5</f>
        <v>585000</v>
      </c>
      <c r="R10" s="17">
        <f>SUM(C10:Q10)</f>
        <v>4680000</v>
      </c>
    </row>
    <row r="11" spans="1:18" ht="15.75" customHeight="1">
      <c r="A11" s="128"/>
      <c r="B11" s="76" t="s">
        <v>57</v>
      </c>
      <c r="C11" s="72">
        <f>SUM(C5:C10)</f>
        <v>0</v>
      </c>
      <c r="D11" s="20">
        <f>SUM(D5:D10)</f>
        <v>87600</v>
      </c>
      <c r="E11" s="20">
        <f t="shared" ref="E11:P11" si="0">SUM(E5:E10)</f>
        <v>89600</v>
      </c>
      <c r="F11" s="20">
        <f t="shared" si="0"/>
        <v>91600</v>
      </c>
      <c r="G11" s="20">
        <f t="shared" si="0"/>
        <v>93600</v>
      </c>
      <c r="H11" s="20">
        <f t="shared" si="0"/>
        <v>95600</v>
      </c>
      <c r="I11" s="20">
        <f t="shared" si="0"/>
        <v>682600</v>
      </c>
      <c r="J11" s="20">
        <f t="shared" si="0"/>
        <v>682600</v>
      </c>
      <c r="K11" s="20">
        <f t="shared" si="0"/>
        <v>682600</v>
      </c>
      <c r="L11" s="20">
        <f t="shared" si="0"/>
        <v>682600</v>
      </c>
      <c r="M11" s="20">
        <f t="shared" si="0"/>
        <v>682600</v>
      </c>
      <c r="N11" s="20">
        <f t="shared" si="0"/>
        <v>682600</v>
      </c>
      <c r="O11" s="20">
        <f t="shared" si="0"/>
        <v>682600</v>
      </c>
      <c r="P11" s="21">
        <f t="shared" si="0"/>
        <v>682600</v>
      </c>
      <c r="Q11" s="20"/>
      <c r="R11" s="17">
        <f>SUM(D11:P11)</f>
        <v>5918800</v>
      </c>
    </row>
    <row r="12" spans="1:18" ht="15.75" customHeight="1">
      <c r="A12" s="128"/>
      <c r="C12" s="1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2"/>
      <c r="Q12" s="13"/>
      <c r="R12" s="17"/>
    </row>
    <row r="13" spans="1:18" ht="18">
      <c r="A13" s="128"/>
      <c r="B13" s="76" t="s">
        <v>61</v>
      </c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2"/>
      <c r="Q13" s="13"/>
      <c r="R13" s="23"/>
    </row>
    <row r="14" spans="1:18" ht="18">
      <c r="A14" s="128"/>
      <c r="B14" s="1" t="s">
        <v>37</v>
      </c>
      <c r="C14" s="15">
        <f>Upgrades!F14</f>
        <v>35000</v>
      </c>
      <c r="D14" s="13">
        <f>Upgrades!F14*(1+Upgrades!$F$15)</f>
        <v>36050</v>
      </c>
      <c r="E14" s="13">
        <f>D14*(1+Upgrades!$F$15)</f>
        <v>37131.5</v>
      </c>
      <c r="F14" s="13">
        <f>E14*(1+Upgrades!$F$15)</f>
        <v>38245.445</v>
      </c>
      <c r="G14" s="13">
        <f>F14*(1+Upgrades!$F$15)</f>
        <v>39392.808349999999</v>
      </c>
      <c r="H14" s="13">
        <f>G14*(1+Upgrades!$F$15)</f>
        <v>40574.5926005</v>
      </c>
      <c r="I14" s="13">
        <f>H14*(1+Upgrades!$F$15)</f>
        <v>41791.830378514998</v>
      </c>
      <c r="J14" s="13">
        <f>I14*(1+Upgrades!$F$15)</f>
        <v>43045.585289870447</v>
      </c>
      <c r="K14" s="13">
        <f>J14*(1+Upgrades!$F$15)</f>
        <v>44336.952848566565</v>
      </c>
      <c r="L14" s="13">
        <f>K14*(1+Upgrades!$F$15)</f>
        <v>45667.061434023562</v>
      </c>
      <c r="M14" s="13">
        <f>L14*(1+Upgrades!$F$15)</f>
        <v>47037.07327704427</v>
      </c>
      <c r="N14" s="13">
        <f>M14*(1+Upgrades!$F$15)</f>
        <v>48448.185475355596</v>
      </c>
      <c r="O14" s="13">
        <f>N14*(1+Upgrades!$F$15)</f>
        <v>49901.631039616266</v>
      </c>
      <c r="P14" s="22">
        <f>O14*(1+Upgrades!$F$15)</f>
        <v>51398.679970804755</v>
      </c>
      <c r="R14" s="17">
        <f t="shared" ref="R14:R15" si="1">SUM(C14:Q14)</f>
        <v>598021.34566429642</v>
      </c>
    </row>
    <row r="15" spans="1:18" ht="18">
      <c r="A15" s="128"/>
      <c r="B15" s="1" t="s">
        <v>86</v>
      </c>
      <c r="C15" s="15">
        <f>Upgrades!F16</f>
        <v>1100</v>
      </c>
      <c r="D15" s="13">
        <f>C15</f>
        <v>1100</v>
      </c>
      <c r="E15" s="13">
        <f>D15</f>
        <v>1100</v>
      </c>
      <c r="F15" s="13">
        <f t="shared" ref="F15:P15" si="2">E15</f>
        <v>1100</v>
      </c>
      <c r="G15" s="13">
        <f t="shared" si="2"/>
        <v>1100</v>
      </c>
      <c r="H15" s="13">
        <f t="shared" si="2"/>
        <v>1100</v>
      </c>
      <c r="I15" s="13">
        <f t="shared" si="2"/>
        <v>1100</v>
      </c>
      <c r="J15" s="13">
        <f t="shared" si="2"/>
        <v>1100</v>
      </c>
      <c r="K15" s="13">
        <f t="shared" si="2"/>
        <v>1100</v>
      </c>
      <c r="L15" s="13">
        <f t="shared" si="2"/>
        <v>1100</v>
      </c>
      <c r="M15" s="13">
        <f t="shared" si="2"/>
        <v>1100</v>
      </c>
      <c r="N15" s="13">
        <f t="shared" si="2"/>
        <v>1100</v>
      </c>
      <c r="O15" s="13">
        <f t="shared" si="2"/>
        <v>1100</v>
      </c>
      <c r="P15" s="22">
        <f t="shared" si="2"/>
        <v>1100</v>
      </c>
      <c r="R15" s="17">
        <f t="shared" si="1"/>
        <v>15400</v>
      </c>
    </row>
    <row r="16" spans="1:18" ht="18">
      <c r="A16" s="128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2"/>
      <c r="R16" s="58"/>
    </row>
    <row r="17" spans="1:19" ht="15">
      <c r="A17" s="202" t="s">
        <v>81</v>
      </c>
      <c r="B17" s="1" t="s">
        <v>36</v>
      </c>
      <c r="C17" s="15"/>
      <c r="D17" s="13">
        <f>Upgrades!J10</f>
        <v>200</v>
      </c>
      <c r="E17" s="13">
        <f>Upgrades!K10</f>
        <v>200</v>
      </c>
      <c r="F17" s="13">
        <f>Upgrades!L10</f>
        <v>200</v>
      </c>
      <c r="G17" s="13">
        <f>Upgrades!M10</f>
        <v>200</v>
      </c>
      <c r="H17" s="13">
        <f>Upgrades!N10</f>
        <v>200</v>
      </c>
      <c r="I17" s="13">
        <f>Upgrades!O10</f>
        <v>200</v>
      </c>
      <c r="J17" s="13">
        <f>Upgrades!P10</f>
        <v>200</v>
      </c>
      <c r="K17" s="13">
        <f>Upgrades!Q10</f>
        <v>200</v>
      </c>
      <c r="L17" s="13">
        <f>Upgrades!R10</f>
        <v>200</v>
      </c>
      <c r="M17" s="13">
        <f>Upgrades!S10</f>
        <v>200</v>
      </c>
      <c r="N17" s="13">
        <f>Upgrades!T10</f>
        <v>200</v>
      </c>
      <c r="O17" s="13">
        <f>Upgrades!U10</f>
        <v>200</v>
      </c>
      <c r="P17" s="22">
        <f>Upgrades!V10</f>
        <v>200</v>
      </c>
      <c r="Q17" s="13"/>
      <c r="R17" s="17">
        <f t="shared" ref="R17:R18" si="3">SUM(C17:Q17)</f>
        <v>2600</v>
      </c>
    </row>
    <row r="18" spans="1:19" ht="15.75" customHeight="1">
      <c r="A18" s="202"/>
      <c r="B18" s="80" t="s">
        <v>62</v>
      </c>
      <c r="C18" s="15"/>
      <c r="D18" s="13">
        <f>Upgrades!J11</f>
        <v>4000</v>
      </c>
      <c r="E18" s="13">
        <f>Upgrades!K11</f>
        <v>8000</v>
      </c>
      <c r="F18" s="13">
        <f>Upgrades!L11</f>
        <v>12000</v>
      </c>
      <c r="G18" s="13">
        <f>Upgrades!M11</f>
        <v>16000</v>
      </c>
      <c r="H18" s="13">
        <f>Upgrades!N11</f>
        <v>20000</v>
      </c>
      <c r="I18" s="13">
        <f>Upgrades!O11</f>
        <v>24000</v>
      </c>
      <c r="J18" s="13">
        <f>Upgrades!P11</f>
        <v>24000</v>
      </c>
      <c r="K18" s="13">
        <f>Upgrades!Q11</f>
        <v>24000</v>
      </c>
      <c r="L18" s="13">
        <f>Upgrades!R11</f>
        <v>24000</v>
      </c>
      <c r="M18" s="13">
        <f>Upgrades!S11</f>
        <v>24000</v>
      </c>
      <c r="N18" s="13">
        <f>Upgrades!T11</f>
        <v>24000</v>
      </c>
      <c r="O18" s="13">
        <f>Upgrades!U11</f>
        <v>24000</v>
      </c>
      <c r="P18" s="22">
        <f>Upgrades!V11</f>
        <v>24000</v>
      </c>
      <c r="Q18" s="13"/>
      <c r="R18" s="17">
        <f t="shared" si="3"/>
        <v>252000</v>
      </c>
    </row>
    <row r="19" spans="1:19" ht="18">
      <c r="A19" s="131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R19" s="58"/>
    </row>
    <row r="20" spans="1:19" ht="18">
      <c r="A20" s="129" t="s">
        <v>83</v>
      </c>
      <c r="B20" s="1" t="s">
        <v>85</v>
      </c>
      <c r="C20" s="44"/>
      <c r="D20" s="13">
        <f>NewBusiness!H9</f>
        <v>572.05479452054794</v>
      </c>
      <c r="E20" s="13">
        <f>NewBusiness!I9</f>
        <v>572.05479452054794</v>
      </c>
      <c r="F20" s="13">
        <f>NewBusiness!J9</f>
        <v>572.05479452054794</v>
      </c>
      <c r="G20" s="13">
        <f>NewBusiness!K9</f>
        <v>572.05479452054794</v>
      </c>
      <c r="H20" s="13">
        <f>NewBusiness!L9</f>
        <v>572.05479452054794</v>
      </c>
      <c r="I20" s="13">
        <f>NewBusiness!M9</f>
        <v>572.05479452054794</v>
      </c>
      <c r="J20" s="13">
        <f>NewBusiness!N9</f>
        <v>572.05479452054794</v>
      </c>
      <c r="K20" s="13">
        <f>NewBusiness!O9</f>
        <v>572.05479452054794</v>
      </c>
      <c r="L20" s="13">
        <f>NewBusiness!P9</f>
        <v>572.05479452054794</v>
      </c>
      <c r="M20" s="13">
        <f>NewBusiness!Q9</f>
        <v>572.05479452054794</v>
      </c>
      <c r="N20" s="13">
        <f>NewBusiness!R9</f>
        <v>572.05479452054794</v>
      </c>
      <c r="O20" s="13">
        <f>NewBusiness!S9</f>
        <v>572.05479452054794</v>
      </c>
      <c r="P20" s="22">
        <f>NewBusiness!T9</f>
        <v>572.05479452054794</v>
      </c>
      <c r="R20" s="17">
        <f>SUM(C20:Q20)</f>
        <v>7436.7123287671238</v>
      </c>
      <c r="S20" s="45"/>
    </row>
    <row r="21" spans="1:19" ht="15">
      <c r="A21" s="28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R21" s="58"/>
      <c r="S21" s="45"/>
    </row>
    <row r="22" spans="1:19" ht="19" thickBot="1">
      <c r="A22" s="71"/>
      <c r="B22" s="76" t="s">
        <v>58</v>
      </c>
      <c r="C22" s="24">
        <f t="shared" ref="C22:P22" si="4">SUM(C14:C21)</f>
        <v>36100</v>
      </c>
      <c r="D22" s="25">
        <f t="shared" si="4"/>
        <v>41922.054794520547</v>
      </c>
      <c r="E22" s="25">
        <f t="shared" si="4"/>
        <v>47003.554794520547</v>
      </c>
      <c r="F22" s="25">
        <f t="shared" si="4"/>
        <v>52117.499794520547</v>
      </c>
      <c r="G22" s="25">
        <f t="shared" si="4"/>
        <v>57264.863144520546</v>
      </c>
      <c r="H22" s="25">
        <f t="shared" si="4"/>
        <v>62446.647395020547</v>
      </c>
      <c r="I22" s="25">
        <f t="shared" si="4"/>
        <v>67663.885173035553</v>
      </c>
      <c r="J22" s="25">
        <f t="shared" si="4"/>
        <v>68917.640084390994</v>
      </c>
      <c r="K22" s="25">
        <f t="shared" si="4"/>
        <v>70209.007643087112</v>
      </c>
      <c r="L22" s="25">
        <f t="shared" si="4"/>
        <v>71539.11622854411</v>
      </c>
      <c r="M22" s="25">
        <f t="shared" si="4"/>
        <v>72909.128071564817</v>
      </c>
      <c r="N22" s="25">
        <f t="shared" si="4"/>
        <v>74320.240269876143</v>
      </c>
      <c r="O22" s="25">
        <f t="shared" si="4"/>
        <v>75773.685834136821</v>
      </c>
      <c r="P22" s="57">
        <f t="shared" si="4"/>
        <v>77270.734765325295</v>
      </c>
      <c r="Q22" s="20"/>
      <c r="R22" s="142">
        <f>SUM(C22:Q22)</f>
        <v>875458.05799306359</v>
      </c>
    </row>
    <row r="23" spans="1:19" ht="16" thickBot="1">
      <c r="A23" s="6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1:19" ht="19" thickBot="1">
      <c r="A24" s="69"/>
      <c r="B24" s="76" t="s">
        <v>38</v>
      </c>
      <c r="C24" s="73">
        <f t="shared" ref="C24:P24" si="5">C11-C22</f>
        <v>-36100</v>
      </c>
      <c r="D24" s="74">
        <f t="shared" si="5"/>
        <v>45677.945205479453</v>
      </c>
      <c r="E24" s="74">
        <f t="shared" si="5"/>
        <v>42596.445205479453</v>
      </c>
      <c r="F24" s="74">
        <f t="shared" si="5"/>
        <v>39482.500205479453</v>
      </c>
      <c r="G24" s="74">
        <f t="shared" si="5"/>
        <v>36335.136855479454</v>
      </c>
      <c r="H24" s="74">
        <f t="shared" si="5"/>
        <v>33153.352604979453</v>
      </c>
      <c r="I24" s="74">
        <f t="shared" si="5"/>
        <v>614936.11482696445</v>
      </c>
      <c r="J24" s="74">
        <f t="shared" si="5"/>
        <v>613682.35991560901</v>
      </c>
      <c r="K24" s="74">
        <f t="shared" si="5"/>
        <v>612390.99235691293</v>
      </c>
      <c r="L24" s="74">
        <f t="shared" si="5"/>
        <v>611060.88377145585</v>
      </c>
      <c r="M24" s="74">
        <f t="shared" si="5"/>
        <v>609690.87192843517</v>
      </c>
      <c r="N24" s="74">
        <f t="shared" si="5"/>
        <v>608279.75973012391</v>
      </c>
      <c r="O24" s="74">
        <f t="shared" si="5"/>
        <v>606826.31416586321</v>
      </c>
      <c r="P24" s="75">
        <f t="shared" si="5"/>
        <v>605329.26523467468</v>
      </c>
      <c r="Q24" s="33"/>
      <c r="R24" s="28"/>
      <c r="S24" s="45"/>
    </row>
    <row r="25" spans="1:19">
      <c r="A25" s="69"/>
      <c r="B25" s="8"/>
      <c r="C25" s="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15" thickBot="1">
      <c r="A26" s="69"/>
      <c r="B26" s="8"/>
      <c r="C26" s="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20" thickBot="1">
      <c r="A27" s="69"/>
      <c r="B27" s="77" t="s">
        <v>39</v>
      </c>
      <c r="C27" s="78">
        <f>NPV(Upgrades!F12,C24:P24)</f>
        <v>856892.56401257461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>
      <c r="A28" s="69"/>
      <c r="B28" s="8"/>
      <c r="C28" s="8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69"/>
      <c r="B29" s="8"/>
      <c r="C29" s="8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>
      <c r="A30" s="69"/>
      <c r="B30" s="8"/>
      <c r="C30" s="8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>
      <c r="A31" s="45"/>
      <c r="B31" s="8"/>
      <c r="C31" s="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69"/>
      <c r="R31" s="45"/>
      <c r="S31" s="45"/>
    </row>
    <row r="32" spans="1:19">
      <c r="A32" s="45"/>
      <c r="B32" s="8"/>
      <c r="C32" s="8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69"/>
      <c r="R32" s="45"/>
      <c r="S32" s="45"/>
    </row>
    <row r="33" spans="1:19">
      <c r="A33" s="45"/>
      <c r="B33" s="8"/>
      <c r="C33" s="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69"/>
      <c r="R33" s="45"/>
      <c r="S33" s="45"/>
    </row>
    <row r="34" spans="1:19">
      <c r="A34" s="45"/>
      <c r="B34" s="8"/>
      <c r="C34" s="8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7.25" customHeight="1">
      <c r="A35" s="45"/>
      <c r="B35" s="8"/>
      <c r="C35" s="8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29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30.75" customHeight="1">
      <c r="A37" s="153"/>
      <c r="B37" s="153"/>
      <c r="C37" s="15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29.25" customHeight="1">
      <c r="A38" s="153"/>
      <c r="B38" s="153"/>
      <c r="C38" s="153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27.75" customHeight="1">
      <c r="A39" s="153"/>
      <c r="B39" s="153"/>
      <c r="C39" s="15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</sheetData>
  <mergeCells count="5">
    <mergeCell ref="A5:A6"/>
    <mergeCell ref="A17:A18"/>
    <mergeCell ref="A37:C37"/>
    <mergeCell ref="A38:C38"/>
    <mergeCell ref="A39:C3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Acronyms</vt:lpstr>
      <vt:lpstr>Upgrades</vt:lpstr>
      <vt:lpstr>NewBusiness</vt:lpstr>
      <vt:lpstr>RetainBusiness</vt:lpstr>
      <vt:lpstr>Retain Business (ie)</vt:lpstr>
      <vt:lpstr>Summary NPV</vt:lpstr>
    </vt:vector>
  </TitlesOfParts>
  <Company>ExxonMobil or an Affiliate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Rojas, Luis</dc:creator>
  <cp:lastModifiedBy>Geoff Kerbis</cp:lastModifiedBy>
  <dcterms:created xsi:type="dcterms:W3CDTF">2012-07-25T14:20:23Z</dcterms:created>
  <dcterms:modified xsi:type="dcterms:W3CDTF">2017-11-08T17:14:52Z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2009283922</vt:i4>
  </property>
  <property fmtid="{D5CDD505-2E9C-101B-9397-08002B2CF9AE}" pid="3" name="_NewReviewCycle">
    <vt:lpwstr/>
  </property>
  <property fmtid="{D5CDD505-2E9C-101B-9397-08002B2CF9AE}" pid="4" name="_EmailSubject">
    <vt:lpwstr>DFLE workshop Mexico city follow Up</vt:lpwstr>
  </property>
  <property fmtid="{D5CDD505-2E9C-101B-9397-08002B2CF9AE}" pid="5" name="_AuthorEmail">
    <vt:lpwstr>luis.rojas@exxonmobil.com</vt:lpwstr>
  </property>
  <property fmtid="{D5CDD505-2E9C-101B-9397-08002B2CF9AE}" pid="6" name="_AuthorEmailDisplayName">
    <vt:lpwstr>Rojas, Luis</vt:lpwstr>
  </property>
  <property fmtid="{D5CDD505-2E9C-101B-9397-08002B2CF9AE}" pid="7" name="_PreviousAdHocReviewCycleID">
    <vt:i4>1380409159</vt:i4>
  </property>
  <property fmtid="{D5CDD505-2E9C-101B-9397-08002B2CF9AE}" pid="8" name="_ReviewingToolsShownOnce">
    <vt:lpwstr/>
  </property>
</Properties>
</file>